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529E764D-F2F5-4C8A-938A-E36B551AA754}" xr6:coauthVersionLast="47" xr6:coauthVersionMax="47" xr10:uidLastSave="{00000000-0000-0000-0000-000000000000}"/>
  <bookViews>
    <workbookView xWindow="-120" yWindow="-120" windowWidth="20730" windowHeight="11160" firstSheet="5" activeTab="10" xr2:uid="{00000000-000D-0000-FFFF-FFFF00000000}"/>
  </bookViews>
  <sheets>
    <sheet name="2021" sheetId="2" r:id="rId1"/>
    <sheet name="2021_1" sheetId="3" r:id="rId2"/>
    <sheet name="2022" sheetId="4" r:id="rId3"/>
    <sheet name="2022_1" sheetId="5" r:id="rId4"/>
    <sheet name="Услуги_2022" sheetId="9" r:id="rId5"/>
    <sheet name="2023" sheetId="6" r:id="rId6"/>
    <sheet name="2023_1 " sheetId="7" r:id="rId7"/>
    <sheet name="Услуги_2023" sheetId="8" r:id="rId8"/>
    <sheet name="2024" sheetId="11" r:id="rId9"/>
    <sheet name="2024_1 " sheetId="12" r:id="rId10"/>
    <sheet name="Услуги_2024" sheetId="13" r:id="rId11"/>
    <sheet name="Лист1" sheetId="10" r:id="rId12"/>
  </sheets>
  <calcPr calcId="191029"/>
</workbook>
</file>

<file path=xl/calcChain.xml><?xml version="1.0" encoding="utf-8"?>
<calcChain xmlns="http://schemas.openxmlformats.org/spreadsheetml/2006/main">
  <c r="E10" i="13" l="1"/>
  <c r="E9" i="13"/>
  <c r="E8" i="13"/>
  <c r="E7" i="13"/>
  <c r="E6" i="13"/>
  <c r="E5" i="13"/>
  <c r="C15" i="13"/>
  <c r="C10" i="13"/>
  <c r="C9" i="13"/>
  <c r="C8" i="13"/>
  <c r="C7" i="13"/>
  <c r="C6" i="13"/>
  <c r="C5" i="13"/>
  <c r="D26" i="12"/>
  <c r="D25" i="12"/>
  <c r="D24" i="12"/>
  <c r="D23" i="12"/>
  <c r="D22" i="12"/>
  <c r="D21" i="12"/>
  <c r="D20" i="12"/>
  <c r="D19" i="12"/>
  <c r="D18" i="12"/>
  <c r="D17" i="12"/>
  <c r="C26" i="12"/>
  <c r="C25" i="12"/>
  <c r="C24" i="12"/>
  <c r="C23" i="12"/>
  <c r="C22" i="12"/>
  <c r="C21" i="12"/>
  <c r="C20" i="12"/>
  <c r="C19" i="12"/>
  <c r="C18" i="12"/>
  <c r="C17" i="12"/>
  <c r="D15" i="12"/>
  <c r="C15" i="12"/>
  <c r="Q14" i="13"/>
  <c r="M14" i="13"/>
  <c r="K14" i="13"/>
  <c r="I14" i="13"/>
  <c r="G14" i="13"/>
  <c r="Z14" i="13"/>
  <c r="X12" i="13"/>
  <c r="V12" i="13"/>
  <c r="T12" i="13"/>
  <c r="R12" i="13"/>
  <c r="P12" i="13"/>
  <c r="N12" i="13"/>
  <c r="L12" i="13"/>
  <c r="J12" i="13"/>
  <c r="H12" i="13"/>
  <c r="F12" i="13"/>
  <c r="D12" i="13"/>
  <c r="B12" i="13"/>
  <c r="Z10" i="13"/>
  <c r="AA10" i="13"/>
  <c r="Z9" i="13"/>
  <c r="AA9" i="13"/>
  <c r="Z8" i="13"/>
  <c r="AA8" i="13"/>
  <c r="Z7" i="13"/>
  <c r="AA7" i="13"/>
  <c r="Z6" i="13"/>
  <c r="AA6" i="13"/>
  <c r="Z5" i="13"/>
  <c r="Z12" i="13" s="1"/>
  <c r="Y12" i="13"/>
  <c r="Y15" i="13" s="1"/>
  <c r="W12" i="13"/>
  <c r="W15" i="13" s="1"/>
  <c r="U12" i="13"/>
  <c r="U15" i="13" s="1"/>
  <c r="S12" i="13"/>
  <c r="S15" i="13" s="1"/>
  <c r="Q12" i="13"/>
  <c r="Q15" i="13" s="1"/>
  <c r="O12" i="13"/>
  <c r="O15" i="13" s="1"/>
  <c r="M12" i="13"/>
  <c r="M15" i="13" s="1"/>
  <c r="K12" i="13"/>
  <c r="K15" i="13" s="1"/>
  <c r="I12" i="13"/>
  <c r="I15" i="13" s="1"/>
  <c r="G12" i="13"/>
  <c r="G15" i="13" s="1"/>
  <c r="E12" i="13"/>
  <c r="E15" i="13" s="1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A8" i="12"/>
  <c r="Z8" i="12"/>
  <c r="AA7" i="12"/>
  <c r="Z7" i="12"/>
  <c r="AA6" i="12"/>
  <c r="Z6" i="12"/>
  <c r="AA5" i="12"/>
  <c r="Z5" i="12"/>
  <c r="AA4" i="12"/>
  <c r="AA10" i="12" s="1"/>
  <c r="Z4" i="12"/>
  <c r="Z10" i="12" s="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6" i="12" s="1"/>
  <c r="D28" i="12" s="1"/>
  <c r="D10" i="11"/>
  <c r="C16" i="12" s="1"/>
  <c r="C28" i="12" s="1"/>
  <c r="C10" i="11"/>
  <c r="B10" i="11"/>
  <c r="AA10" i="11"/>
  <c r="Z10" i="11"/>
  <c r="Z14" i="8"/>
  <c r="Y15" i="8"/>
  <c r="Y12" i="8"/>
  <c r="X12" i="8"/>
  <c r="Y9" i="8"/>
  <c r="Y10" i="8"/>
  <c r="Y8" i="8"/>
  <c r="Y7" i="8"/>
  <c r="Y6" i="8"/>
  <c r="Y5" i="8"/>
  <c r="D26" i="7"/>
  <c r="C26" i="7"/>
  <c r="Y10" i="6"/>
  <c r="X10" i="6"/>
  <c r="V12" i="8"/>
  <c r="W10" i="8"/>
  <c r="W9" i="8"/>
  <c r="W8" i="8"/>
  <c r="W7" i="8"/>
  <c r="W12" i="8" s="1"/>
  <c r="W15" i="8" s="1"/>
  <c r="W6" i="8"/>
  <c r="W5" i="8"/>
  <c r="D25" i="7"/>
  <c r="C25" i="7"/>
  <c r="W10" i="6"/>
  <c r="V10" i="6"/>
  <c r="E22" i="3"/>
  <c r="D22" i="3"/>
  <c r="T12" i="8"/>
  <c r="U9" i="8"/>
  <c r="U12" i="8" s="1"/>
  <c r="U15" i="8" s="1"/>
  <c r="U10" i="8"/>
  <c r="U8" i="8"/>
  <c r="U7" i="8"/>
  <c r="U6" i="8"/>
  <c r="U5" i="8"/>
  <c r="D24" i="7"/>
  <c r="C24" i="7"/>
  <c r="U10" i="6"/>
  <c r="T10" i="6"/>
  <c r="AA10" i="8"/>
  <c r="Z10" i="8"/>
  <c r="S15" i="8"/>
  <c r="S12" i="8"/>
  <c r="R12" i="8"/>
  <c r="S10" i="8"/>
  <c r="S9" i="8"/>
  <c r="S8" i="8"/>
  <c r="S7" i="8"/>
  <c r="S6" i="8"/>
  <c r="S5" i="8"/>
  <c r="D23" i="7"/>
  <c r="C23" i="7"/>
  <c r="S10" i="6"/>
  <c r="R10" i="6"/>
  <c r="Q10" i="8"/>
  <c r="P12" i="8"/>
  <c r="Q9" i="8"/>
  <c r="Q8" i="8"/>
  <c r="Q7" i="8"/>
  <c r="Q6" i="8"/>
  <c r="Q5" i="8"/>
  <c r="Q10" i="6"/>
  <c r="P10" i="6"/>
  <c r="C22" i="7" s="1"/>
  <c r="O15" i="8"/>
  <c r="O10" i="8"/>
  <c r="O9" i="8"/>
  <c r="O8" i="8"/>
  <c r="O7" i="8"/>
  <c r="O6" i="8"/>
  <c r="O5" i="8"/>
  <c r="O10" i="6"/>
  <c r="D21" i="7" s="1"/>
  <c r="N10" i="6"/>
  <c r="C21" i="7" s="1"/>
  <c r="O12" i="8"/>
  <c r="N12" i="8"/>
  <c r="E17" i="10"/>
  <c r="E18" i="10"/>
  <c r="E19" i="10"/>
  <c r="E16" i="10"/>
  <c r="E13" i="10"/>
  <c r="E12" i="10"/>
  <c r="E11" i="10"/>
  <c r="E10" i="10"/>
  <c r="E9" i="10"/>
  <c r="C8" i="10"/>
  <c r="E8" i="10" s="1"/>
  <c r="E7" i="10"/>
  <c r="M14" i="8"/>
  <c r="K14" i="8"/>
  <c r="I14" i="8"/>
  <c r="G14" i="8"/>
  <c r="E14" i="8"/>
  <c r="C14" i="8"/>
  <c r="M15" i="8"/>
  <c r="K15" i="8"/>
  <c r="I15" i="8"/>
  <c r="G15" i="8"/>
  <c r="E15" i="8"/>
  <c r="C15" i="8"/>
  <c r="M10" i="8"/>
  <c r="M9" i="8"/>
  <c r="L12" i="8"/>
  <c r="M8" i="8"/>
  <c r="M7" i="8"/>
  <c r="M6" i="8"/>
  <c r="M5" i="8"/>
  <c r="C20" i="7"/>
  <c r="L10" i="6"/>
  <c r="M10" i="6"/>
  <c r="D20" i="7" s="1"/>
  <c r="D28" i="5"/>
  <c r="C28" i="5"/>
  <c r="D19" i="7"/>
  <c r="C19" i="7"/>
  <c r="K12" i="8"/>
  <c r="K10" i="8"/>
  <c r="K9" i="8"/>
  <c r="K8" i="8"/>
  <c r="K7" i="8"/>
  <c r="K6" i="8"/>
  <c r="K5" i="8"/>
  <c r="J12" i="8"/>
  <c r="K10" i="6"/>
  <c r="J10" i="6"/>
  <c r="H12" i="8"/>
  <c r="I10" i="8"/>
  <c r="I9" i="8"/>
  <c r="I8" i="8"/>
  <c r="I7" i="8"/>
  <c r="I6" i="8"/>
  <c r="I5" i="8"/>
  <c r="I12" i="8" s="1"/>
  <c r="C28" i="7"/>
  <c r="D18" i="7"/>
  <c r="C18" i="7"/>
  <c r="I10" i="6"/>
  <c r="H10" i="6"/>
  <c r="D17" i="7"/>
  <c r="C17" i="7"/>
  <c r="G10" i="6"/>
  <c r="F10" i="6"/>
  <c r="F12" i="8"/>
  <c r="G10" i="8"/>
  <c r="G9" i="8"/>
  <c r="G8" i="8"/>
  <c r="G7" i="8"/>
  <c r="G6" i="8"/>
  <c r="G5" i="8"/>
  <c r="G12" i="8" s="1"/>
  <c r="E10" i="8"/>
  <c r="D12" i="8"/>
  <c r="E9" i="8"/>
  <c r="E8" i="8"/>
  <c r="E7" i="8"/>
  <c r="E6" i="8"/>
  <c r="E5" i="8"/>
  <c r="E12" i="8" s="1"/>
  <c r="D16" i="7"/>
  <c r="C16" i="7"/>
  <c r="E10" i="6"/>
  <c r="D10" i="6"/>
  <c r="U11" i="9"/>
  <c r="U9" i="9"/>
  <c r="U8" i="9"/>
  <c r="U7" i="9"/>
  <c r="U6" i="9"/>
  <c r="U5" i="9"/>
  <c r="T11" i="9"/>
  <c r="T9" i="9"/>
  <c r="T8" i="9"/>
  <c r="T6" i="9"/>
  <c r="T5" i="9"/>
  <c r="W11" i="9"/>
  <c r="W9" i="9"/>
  <c r="W8" i="9"/>
  <c r="W7" i="9"/>
  <c r="W6" i="9"/>
  <c r="W5" i="9"/>
  <c r="V11" i="9"/>
  <c r="V9" i="9"/>
  <c r="V8" i="9"/>
  <c r="V6" i="9"/>
  <c r="V5" i="9"/>
  <c r="X9" i="9"/>
  <c r="X11" i="9"/>
  <c r="Y9" i="9"/>
  <c r="Y11" i="9" s="1"/>
  <c r="Y8" i="9"/>
  <c r="X8" i="9"/>
  <c r="Y7" i="9"/>
  <c r="Y6" i="9"/>
  <c r="X6" i="9"/>
  <c r="Y5" i="9"/>
  <c r="X5" i="9"/>
  <c r="B11" i="9"/>
  <c r="Z9" i="9"/>
  <c r="AA9" i="9"/>
  <c r="Z8" i="9"/>
  <c r="AA8" i="9"/>
  <c r="Z7" i="9"/>
  <c r="AA7" i="9"/>
  <c r="AA6" i="9"/>
  <c r="Z6" i="9"/>
  <c r="Z5" i="9"/>
  <c r="Z11" i="9" s="1"/>
  <c r="C9" i="8"/>
  <c r="C7" i="8"/>
  <c r="C8" i="8"/>
  <c r="C5" i="8"/>
  <c r="C12" i="8"/>
  <c r="B12" i="8"/>
  <c r="AA9" i="8"/>
  <c r="Z9" i="8"/>
  <c r="AA8" i="8"/>
  <c r="Z8" i="8"/>
  <c r="AA7" i="8"/>
  <c r="Z7" i="8"/>
  <c r="AA6" i="8"/>
  <c r="Z6" i="8"/>
  <c r="AA5" i="8"/>
  <c r="AA12" i="8" s="1"/>
  <c r="Z5" i="8"/>
  <c r="D15" i="7"/>
  <c r="C15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A8" i="7"/>
  <c r="Z8" i="7"/>
  <c r="AA7" i="7"/>
  <c r="Z7" i="7"/>
  <c r="AA6" i="7"/>
  <c r="Z6" i="7"/>
  <c r="AA5" i="7"/>
  <c r="Z5" i="7"/>
  <c r="AA4" i="7"/>
  <c r="AA10" i="7" s="1"/>
  <c r="Z4" i="7"/>
  <c r="Z10" i="7" s="1"/>
  <c r="C10" i="6"/>
  <c r="B10" i="6"/>
  <c r="AA8" i="6"/>
  <c r="Z8" i="6"/>
  <c r="AA7" i="6"/>
  <c r="Z7" i="6"/>
  <c r="AA6" i="6"/>
  <c r="Z6" i="6"/>
  <c r="AA5" i="6"/>
  <c r="Z5" i="6"/>
  <c r="AA4" i="6"/>
  <c r="AA10" i="6" s="1"/>
  <c r="Z4" i="6"/>
  <c r="Z10" i="6" s="1"/>
  <c r="D25" i="5"/>
  <c r="D24" i="5"/>
  <c r="D23" i="5"/>
  <c r="D22" i="5"/>
  <c r="D21" i="5"/>
  <c r="D20" i="5"/>
  <c r="D19" i="5"/>
  <c r="D18" i="5"/>
  <c r="D17" i="5"/>
  <c r="D16" i="5"/>
  <c r="D15" i="5"/>
  <c r="C25" i="5"/>
  <c r="C24" i="5"/>
  <c r="C23" i="5"/>
  <c r="C22" i="5"/>
  <c r="C21" i="5"/>
  <c r="C20" i="5"/>
  <c r="L10" i="5"/>
  <c r="C19" i="5"/>
  <c r="C18" i="5"/>
  <c r="C17" i="5"/>
  <c r="C16" i="5"/>
  <c r="C15" i="5"/>
  <c r="Y10" i="5"/>
  <c r="D26" i="5" s="1"/>
  <c r="X10" i="5"/>
  <c r="C26" i="5" s="1"/>
  <c r="W10" i="5"/>
  <c r="V10" i="5"/>
  <c r="U10" i="5"/>
  <c r="T10" i="5"/>
  <c r="S10" i="5"/>
  <c r="R10" i="5"/>
  <c r="Q10" i="5"/>
  <c r="P10" i="5"/>
  <c r="O10" i="5"/>
  <c r="N10" i="5"/>
  <c r="M10" i="5"/>
  <c r="K10" i="5"/>
  <c r="J10" i="5"/>
  <c r="I10" i="5"/>
  <c r="H10" i="5"/>
  <c r="G10" i="5"/>
  <c r="F10" i="5"/>
  <c r="E10" i="5"/>
  <c r="D10" i="5"/>
  <c r="C10" i="5"/>
  <c r="B10" i="5"/>
  <c r="AA8" i="5"/>
  <c r="Z8" i="5"/>
  <c r="AA7" i="5"/>
  <c r="Z7" i="5"/>
  <c r="AA6" i="5"/>
  <c r="Z6" i="5"/>
  <c r="AA5" i="5"/>
  <c r="Z5" i="5"/>
  <c r="AA4" i="5"/>
  <c r="AA10" i="5" s="1"/>
  <c r="Z4" i="5"/>
  <c r="Z10" i="5" s="1"/>
  <c r="AA5" i="4"/>
  <c r="AA6" i="4"/>
  <c r="AA7" i="4"/>
  <c r="AA8" i="4"/>
  <c r="AA4" i="4"/>
  <c r="Z5" i="4"/>
  <c r="Z6" i="4"/>
  <c r="Z7" i="4"/>
  <c r="Z8" i="4"/>
  <c r="Z4" i="4"/>
  <c r="Z10" i="4"/>
  <c r="AA10" i="4"/>
  <c r="V10" i="4"/>
  <c r="W10" i="4"/>
  <c r="X10" i="4"/>
  <c r="Y10" i="4"/>
  <c r="U10" i="4"/>
  <c r="T10" i="4"/>
  <c r="S10" i="4"/>
  <c r="R10" i="4"/>
  <c r="Q10" i="4"/>
  <c r="P10" i="4"/>
  <c r="P5" i="2"/>
  <c r="P6" i="2"/>
  <c r="P7" i="2"/>
  <c r="P8" i="2"/>
  <c r="O5" i="2"/>
  <c r="O6" i="2"/>
  <c r="O7" i="2"/>
  <c r="O8" i="2"/>
  <c r="P4" i="2"/>
  <c r="O4" i="2"/>
  <c r="P10" i="2"/>
  <c r="O10" i="2"/>
  <c r="O10" i="4"/>
  <c r="N10" i="4"/>
  <c r="C10" i="4"/>
  <c r="D10" i="4"/>
  <c r="E10" i="4"/>
  <c r="F10" i="4"/>
  <c r="G10" i="4"/>
  <c r="H10" i="4"/>
  <c r="I10" i="4"/>
  <c r="J10" i="4"/>
  <c r="K10" i="4"/>
  <c r="L10" i="4"/>
  <c r="M10" i="4"/>
  <c r="B10" i="4"/>
  <c r="E20" i="3"/>
  <c r="E19" i="3"/>
  <c r="E18" i="3"/>
  <c r="E17" i="3"/>
  <c r="E16" i="3"/>
  <c r="E15" i="3"/>
  <c r="D20" i="3"/>
  <c r="D19" i="3"/>
  <c r="D18" i="3"/>
  <c r="D17" i="3"/>
  <c r="D16" i="3"/>
  <c r="D15" i="3"/>
  <c r="C12" i="13" l="1"/>
  <c r="AA5" i="13"/>
  <c r="AA12" i="13" s="1"/>
  <c r="Z12" i="8"/>
  <c r="Q14" i="8"/>
  <c r="D22" i="7"/>
  <c r="D28" i="7" s="1"/>
  <c r="Q12" i="8"/>
  <c r="Q15" i="8" s="1"/>
  <c r="Z16" i="8"/>
  <c r="Z15" i="8"/>
  <c r="E20" i="10"/>
  <c r="E23" i="10" s="1"/>
  <c r="M12" i="8"/>
  <c r="C11" i="9"/>
  <c r="AA5" i="9"/>
  <c r="AA11" i="9" s="1"/>
  <c r="Z16" i="13" l="1"/>
  <c r="Z15" i="13"/>
</calcChain>
</file>

<file path=xl/sharedStrings.xml><?xml version="1.0" encoding="utf-8"?>
<sst xmlns="http://schemas.openxmlformats.org/spreadsheetml/2006/main" count="569" uniqueCount="65">
  <si>
    <t>июль</t>
  </si>
  <si>
    <t>обращений</t>
  </si>
  <si>
    <t>семей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</si>
  <si>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</si>
  <si>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</si>
  <si>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</si>
  <si>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</si>
  <si>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</si>
  <si>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</si>
  <si>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</si>
  <si>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</si>
  <si>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</si>
  <si>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</si>
  <si>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</si>
  <si>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Здравоохранение</t>
  </si>
  <si>
    <t>МСЭ, ТСР, ФСС</t>
  </si>
  <si>
    <t>Образование</t>
  </si>
  <si>
    <t>Юридические</t>
  </si>
  <si>
    <t>Другие</t>
  </si>
  <si>
    <t>Всего</t>
  </si>
  <si>
    <t xml:space="preserve">август </t>
  </si>
  <si>
    <t>количество обращений</t>
  </si>
  <si>
    <t>количество семей</t>
  </si>
  <si>
    <t>Январь</t>
  </si>
  <si>
    <t>Февраль</t>
  </si>
  <si>
    <t>Март</t>
  </si>
  <si>
    <t>Апрель</t>
  </si>
  <si>
    <t>Май</t>
  </si>
  <si>
    <t>Июнь</t>
  </si>
  <si>
    <t>Всего за год</t>
  </si>
  <si>
    <t>Другие тематики</t>
  </si>
  <si>
    <t>Количество услуг</t>
  </si>
  <si>
    <t>Разъяснений НПА</t>
  </si>
  <si>
    <t>Представление интересов в ведомствах, час</t>
  </si>
  <si>
    <t>Звонки, шт</t>
  </si>
  <si>
    <t>Заявлений, шт</t>
  </si>
  <si>
    <t>Выездных консультаций, шт</t>
  </si>
  <si>
    <t>руб.</t>
  </si>
  <si>
    <t>рублей</t>
  </si>
  <si>
    <t>руб</t>
  </si>
  <si>
    <t>Видео консультации</t>
  </si>
  <si>
    <t>шт</t>
  </si>
  <si>
    <t>Июль</t>
  </si>
  <si>
    <t>Август</t>
  </si>
  <si>
    <t>Сентябрь</t>
  </si>
  <si>
    <t>Октябрь</t>
  </si>
  <si>
    <t>Ноябрь</t>
  </si>
  <si>
    <t>Декабрь</t>
  </si>
  <si>
    <t>шт.</t>
  </si>
  <si>
    <t>Семей</t>
  </si>
  <si>
    <t>Затраты на 1 семью</t>
  </si>
  <si>
    <t>Дополнительные расходы</t>
  </si>
  <si>
    <t>Зарплата руководителя</t>
  </si>
  <si>
    <t>Страховые взносы, 30,2%</t>
  </si>
  <si>
    <t>Аутсорсинг бухгалтерия</t>
  </si>
  <si>
    <t>Единый номер</t>
  </si>
  <si>
    <t>СММ+сайт(самозанятые)</t>
  </si>
  <si>
    <t>Сопровождение CRM</t>
  </si>
  <si>
    <t>в мес</t>
  </si>
  <si>
    <t>Юрист (самозанятый)</t>
  </si>
  <si>
    <t>Материальные затраты</t>
  </si>
  <si>
    <t>Печать листовок, визиток</t>
  </si>
  <si>
    <t>Печать баннера</t>
  </si>
  <si>
    <t>Принтер, 1 шт</t>
  </si>
  <si>
    <t>Ноутбук, 4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</si>
</sst>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579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7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4" fillId="6" borderId="1" xfId="0" applyFont="1" applyFill="1" applyBorder="1"/>
    <xf numFmtId="0" fontId="0" fillId="0" borderId="0" xfId="0" applyAlignment="1">
      <alignment horizontal="center" vertical="center" wrapText="1"/>
    </xf>
    <xf numFmtId="0" fontId="4" fillId="9" borderId="1" xfId="0" applyFont="1" applyFill="1" applyBorder="1"/>
    <xf numFmtId="0" fontId="4" fillId="8" borderId="1" xfId="0" applyFont="1" applyFill="1" applyBorder="1"/>
    <xf numFmtId="0" fontId="0" fillId="8" borderId="1" xfId="0" applyFill="1" applyBorder="1"/>
    <xf numFmtId="0" fontId="4" fillId="0" borderId="3" xfId="0" applyFont="1" applyBorder="1"/>
    <xf numFmtId="0" fontId="4" fillId="2" borderId="4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4" fillId="4" borderId="6" xfId="0" applyFont="1" applyFill="1" applyBorder="1"/>
    <xf numFmtId="0" fontId="4" fillId="2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5" borderId="5" xfId="0" applyFont="1" applyFill="1" applyBorder="1"/>
    <xf numFmtId="0" fontId="4" fillId="5" borderId="6" xfId="0" applyFont="1" applyFill="1" applyBorder="1"/>
    <xf numFmtId="0" fontId="4" fillId="6" borderId="5" xfId="0" applyFont="1" applyFill="1" applyBorder="1"/>
    <xf numFmtId="0" fontId="4" fillId="6" borderId="6" xfId="0" applyFont="1" applyFill="1" applyBorder="1"/>
    <xf numFmtId="0" fontId="4" fillId="6" borderId="13" xfId="0" applyFont="1" applyFill="1" applyBorder="1"/>
    <xf numFmtId="0" fontId="4" fillId="3" borderId="1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0" fillId="2" borderId="9" xfId="0" applyFill="1" applyBorder="1"/>
    <xf numFmtId="0" fontId="0" fillId="3" borderId="10" xfId="0" applyFill="1" applyBorder="1"/>
    <xf numFmtId="0" fontId="4" fillId="7" borderId="3" xfId="0" applyFont="1" applyFill="1" applyBorder="1"/>
    <xf numFmtId="0" fontId="4" fillId="2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0" fillId="2" borderId="11" xfId="0" applyFill="1" applyBorder="1"/>
    <xf numFmtId="0" fontId="0" fillId="3" borderId="12" xfId="0" applyFill="1" applyBorder="1"/>
    <xf numFmtId="0" fontId="4" fillId="3" borderId="18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3" borderId="17" xfId="0" applyFill="1" applyBorder="1"/>
    <xf numFmtId="0" fontId="4" fillId="3" borderId="14" xfId="0" applyFont="1" applyFill="1" applyBorder="1" applyAlignment="1">
      <alignment horizontal="center"/>
    </xf>
    <xf numFmtId="0" fontId="4" fillId="8" borderId="3" xfId="0" applyFont="1" applyFill="1" applyBorder="1"/>
    <xf numFmtId="0" fontId="0" fillId="2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0" fontId="4" fillId="9" borderId="5" xfId="0" applyFont="1" applyFill="1" applyBorder="1"/>
    <xf numFmtId="0" fontId="4" fillId="9" borderId="6" xfId="0" applyFont="1" applyFill="1" applyBorder="1"/>
    <xf numFmtId="0" fontId="4" fillId="8" borderId="5" xfId="0" applyFont="1" applyFill="1" applyBorder="1"/>
    <xf numFmtId="0" fontId="4" fillId="8" borderId="6" xfId="0" applyFont="1" applyFill="1" applyBorder="1"/>
    <xf numFmtId="0" fontId="0" fillId="8" borderId="6" xfId="0" applyFill="1" applyBorder="1"/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22" xfId="0" applyFont="1" applyBorder="1"/>
    <xf numFmtId="0" fontId="4" fillId="0" borderId="23" xfId="0" applyFont="1" applyBorder="1"/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2" borderId="25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 vertical="center"/>
    </xf>
    <xf numFmtId="0" fontId="4" fillId="10" borderId="20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vertical="center"/>
    </xf>
    <xf numFmtId="0" fontId="4" fillId="10" borderId="21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26" xfId="0" applyFont="1" applyFill="1" applyBorder="1"/>
    <xf numFmtId="0" fontId="0" fillId="6" borderId="10" xfId="0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6" fillId="0" borderId="0" xfId="0" applyFont="1"/>
    <xf numFmtId="0" fontId="0" fillId="2" borderId="0" xfId="0" applyFill="1"/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9" borderId="28" xfId="0" applyFont="1" applyFill="1" applyBorder="1" applyAlignment="1">
      <alignment horizontal="center" vertical="center"/>
    </xf>
    <xf numFmtId="0" fontId="4" fillId="9" borderId="29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29" xfId="0" applyFont="1" applyFill="1" applyBorder="1" applyAlignment="1">
      <alignment horizontal="center" vertical="center"/>
    </xf>
    <xf numFmtId="0" fontId="4" fillId="12" borderId="13" xfId="0" applyFont="1" applyFill="1" applyBorder="1" applyAlignment="1">
      <alignment horizontal="center" vertical="center"/>
    </xf>
    <xf numFmtId="0" fontId="4" fillId="12" borderId="30" xfId="0" applyFont="1" applyFill="1" applyBorder="1" applyAlignment="1">
      <alignment horizontal="center" vertical="center"/>
    </xf>
    <xf numFmtId="0" fontId="4" fillId="12" borderId="26" xfId="0" applyFont="1" applyFill="1" applyBorder="1" applyAlignment="1">
      <alignment horizontal="center" vertical="center"/>
    </xf>
    <xf numFmtId="0" fontId="4" fillId="12" borderId="31" xfId="0" applyFont="1" applyFill="1" applyBorder="1" applyAlignment="1">
      <alignment horizontal="center" vertical="center"/>
    </xf>
    <xf numFmtId="0" fontId="4" fillId="12" borderId="28" xfId="0" applyFont="1" applyFill="1" applyBorder="1" applyAlignment="1">
      <alignment horizontal="center"/>
    </xf>
    <xf numFmtId="0" fontId="4" fillId="12" borderId="30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57979"/>
      <color rgb="FF66FF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'2021'!$B$4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('2021'!$C$2,'2021'!$E$2,'2021'!$G$2,'2021'!$I$2,'2021'!$K$2,'2021'!$M$2)</c:f>
              <c:strCache>
                <c:ptCount val="6"/>
                <c:pt idx="0">
                  <c:v>июль</c:v>
                </c:pt>
                <c:pt idx="1">
                  <c:v>август</c:v>
                </c:pt>
                <c:pt idx="2">
                  <c:v>сентябрь</c:v>
                </c:pt>
                <c:pt idx="3">
                  <c:v>октябрь</c:v>
                </c:pt>
                <c:pt idx="4">
                  <c:v>ноябрь</c:v>
                </c:pt>
                <c:pt idx="5">
                  <c:v>декабрь</c:v>
                </c:pt>
              </c:strCache>
            </c:strRef>
          </c:cat>
          <c:val>
            <c:numRef>
              <c:f>('2021'!$C$4,'2021'!$E$4,'2021'!$G$4,'2021'!$I$4,'2021'!$K$4,'2021'!$M$4)</c:f>
              <c:numCache>
                <c:formatCode>General</c:formatCode>
                <c:ptCount val="6"/>
                <c:pt idx="0">
                  <c:v>61</c:v>
                </c:pt>
                <c:pt idx="1">
                  <c:v>111</c:v>
                </c:pt>
                <c:pt idx="2">
                  <c:v>24</c:v>
                </c:pt>
                <c:pt idx="3">
                  <c:v>9</c:v>
                </c:pt>
                <c:pt idx="4">
                  <c:v>11</c:v>
                </c:pt>
                <c:pt idx="5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44-4C06-BE21-7AD20608C959}"/>
            </c:ext>
          </c:extLst>
        </c:ser>
        <c:ser>
          <c:idx val="1"/>
          <c:order val="1"/>
          <c:tx>
            <c:strRef>
              <c:f>'2021'!$B$5</c:f>
              <c:strCache>
                <c:ptCount val="1"/>
                <c:pt idx="0">
                  <c:v>МСЭ, ТСР, ФСС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('2021'!$C$2,'2021'!$E$2,'2021'!$G$2,'2021'!$I$2,'2021'!$K$2,'2021'!$M$2)</c:f>
              <c:strCache>
                <c:ptCount val="6"/>
                <c:pt idx="0">
                  <c:v>июль</c:v>
                </c:pt>
                <c:pt idx="1">
                  <c:v>август</c:v>
                </c:pt>
                <c:pt idx="2">
                  <c:v>сентябрь</c:v>
                </c:pt>
                <c:pt idx="3">
                  <c:v>октябрь</c:v>
                </c:pt>
                <c:pt idx="4">
                  <c:v>ноябрь</c:v>
                </c:pt>
                <c:pt idx="5">
                  <c:v>декабрь</c:v>
                </c:pt>
              </c:strCache>
            </c:strRef>
          </c:cat>
          <c:val>
            <c:numRef>
              <c:f>('2021'!$C$5,'2021'!$E$5,'2021'!$G$5,'2021'!$I$5,'2021'!$K$5,'2021'!$M$5)</c:f>
              <c:numCache>
                <c:formatCode>General</c:formatCode>
                <c:ptCount val="6"/>
                <c:pt idx="0">
                  <c:v>6</c:v>
                </c:pt>
                <c:pt idx="1">
                  <c:v>16</c:v>
                </c:pt>
                <c:pt idx="2">
                  <c:v>7</c:v>
                </c:pt>
                <c:pt idx="3">
                  <c:v>12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44-4C06-BE21-7AD20608C959}"/>
            </c:ext>
          </c:extLst>
        </c:ser>
        <c:ser>
          <c:idx val="2"/>
          <c:order val="2"/>
          <c:tx>
            <c:strRef>
              <c:f>'2021'!$B$6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('2021'!$C$2,'2021'!$E$2,'2021'!$G$2,'2021'!$I$2,'2021'!$K$2,'2021'!$M$2)</c:f>
              <c:strCache>
                <c:ptCount val="6"/>
                <c:pt idx="0">
                  <c:v>июль</c:v>
                </c:pt>
                <c:pt idx="1">
                  <c:v>август</c:v>
                </c:pt>
                <c:pt idx="2">
                  <c:v>сентябрь</c:v>
                </c:pt>
                <c:pt idx="3">
                  <c:v>октябрь</c:v>
                </c:pt>
                <c:pt idx="4">
                  <c:v>ноябрь</c:v>
                </c:pt>
                <c:pt idx="5">
                  <c:v>декабрь</c:v>
                </c:pt>
              </c:strCache>
            </c:strRef>
          </c:cat>
          <c:val>
            <c:numRef>
              <c:f>('2021'!$C$6,'2021'!$E$6,'2021'!$G$6,'2021'!$I$6,'2021'!$K$6,'2021'!$M$6)</c:f>
              <c:numCache>
                <c:formatCode>General</c:formatCode>
                <c:ptCount val="6"/>
                <c:pt idx="0">
                  <c:v>1</c:v>
                </c:pt>
                <c:pt idx="1">
                  <c:v>9</c:v>
                </c:pt>
                <c:pt idx="2">
                  <c:v>9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44-4C06-BE21-7AD20608C959}"/>
            </c:ext>
          </c:extLst>
        </c:ser>
        <c:ser>
          <c:idx val="3"/>
          <c:order val="3"/>
          <c:tx>
            <c:strRef>
              <c:f>'2021'!$B$7</c:f>
              <c:strCache>
                <c:ptCount val="1"/>
                <c:pt idx="0">
                  <c:v>Юридические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('2021'!$C$2,'2021'!$E$2,'2021'!$G$2,'2021'!$I$2,'2021'!$K$2,'2021'!$M$2)</c:f>
              <c:strCache>
                <c:ptCount val="6"/>
                <c:pt idx="0">
                  <c:v>июль</c:v>
                </c:pt>
                <c:pt idx="1">
                  <c:v>август</c:v>
                </c:pt>
                <c:pt idx="2">
                  <c:v>сентябрь</c:v>
                </c:pt>
                <c:pt idx="3">
                  <c:v>октябрь</c:v>
                </c:pt>
                <c:pt idx="4">
                  <c:v>ноябрь</c:v>
                </c:pt>
                <c:pt idx="5">
                  <c:v>декабрь</c:v>
                </c:pt>
              </c:strCache>
            </c:strRef>
          </c:cat>
          <c:val>
            <c:numRef>
              <c:f>('2021'!$C$7,'2021'!$E$7,'2021'!$G$7,'2021'!$I$7,'2021'!$K$7,'2021'!$M$7)</c:f>
              <c:numCache>
                <c:formatCode>General</c:formatCode>
                <c:ptCount val="6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44-4C06-BE21-7AD20608C959}"/>
            </c:ext>
          </c:extLst>
        </c:ser>
        <c:ser>
          <c:idx val="4"/>
          <c:order val="4"/>
          <c:tx>
            <c:strRef>
              <c:f>'2021'!$B$8</c:f>
              <c:strCache>
                <c:ptCount val="1"/>
                <c:pt idx="0">
                  <c:v>Другие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('2021'!$C$2,'2021'!$E$2,'2021'!$G$2,'2021'!$I$2,'2021'!$K$2,'2021'!$M$2)</c:f>
              <c:strCache>
                <c:ptCount val="6"/>
                <c:pt idx="0">
                  <c:v>июль</c:v>
                </c:pt>
                <c:pt idx="1">
                  <c:v>август</c:v>
                </c:pt>
                <c:pt idx="2">
                  <c:v>сентябрь</c:v>
                </c:pt>
                <c:pt idx="3">
                  <c:v>октябрь</c:v>
                </c:pt>
                <c:pt idx="4">
                  <c:v>ноябрь</c:v>
                </c:pt>
                <c:pt idx="5">
                  <c:v>декабрь</c:v>
                </c:pt>
              </c:strCache>
            </c:strRef>
          </c:cat>
          <c:val>
            <c:numRef>
              <c:f>('2021'!$C$8,'2021'!$E$8,'2021'!$G$8,'2021'!$I$8,'2021'!$K$8,'2021'!$M$8)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44-4C06-BE21-7AD20608C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>
              <a:solidFill>
                <a:schemeClr val="dk1">
                  <a:lumMod val="35000"/>
                  <a:lumOff val="65000"/>
                </a:schemeClr>
              </a:solidFill>
              <a:prstDash val="dash"/>
            </a:ln>
            <a:effectLst/>
          </c:spPr>
        </c:dropLines>
        <c:smooth val="0"/>
        <c:axId val="100190576"/>
        <c:axId val="100186416"/>
      </c:lineChart>
      <c:catAx>
        <c:axId val="100190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Месяц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186416"/>
        <c:crosses val="autoZero"/>
        <c:auto val="1"/>
        <c:lblAlgn val="ctr"/>
        <c:lblOffset val="100"/>
        <c:noMultiLvlLbl val="0"/>
      </c:catAx>
      <c:valAx>
        <c:axId val="10018641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Количество</a:t>
                </a:r>
                <a:r>
                  <a:rPr lang="ru-RU" baseline="0"/>
                  <a:t> обращений по направлениям за 2021 г.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19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u="none" strike="noStrike" baseline="0">
                <a:effectLst/>
              </a:rPr>
              <a:t>Количество обращений по направлениям за 2024 г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'2024'!$A$4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('2024'!$B$2,'2024'!$D$2,'2024'!$F$2,'2024'!$H$2,'2024'!$J$2,'2024'!$L$2,'2024'!$N$2,'2024'!$P$2,'2024'!$R$2,'2024'!$T$2,'2024'!$V$2,'2024'!$X$2)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('2024'!$B$4,'2024'!$D$4,'2024'!$F$4,'2024'!$H$4,'2024'!$J$4,'2024'!$L$4,'2024'!$N$4,'2024'!$P$4,'2024'!$R$4,'2024'!$T$4,'2024'!$V$4,'2024'!$X$4)</c:f>
              <c:numCache>
                <c:formatCode>General</c:formatCode>
                <c:ptCount val="12"/>
                <c:pt idx="0">
                  <c:v>16</c:v>
                </c:pt>
                <c:pt idx="1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7D-4B65-AE14-6AB9B2E6446E}"/>
            </c:ext>
          </c:extLst>
        </c:ser>
        <c:ser>
          <c:idx val="1"/>
          <c:order val="1"/>
          <c:tx>
            <c:strRef>
              <c:f>'2024'!$A$5</c:f>
              <c:strCache>
                <c:ptCount val="1"/>
                <c:pt idx="0">
                  <c:v>МСЭ, ТСР, ФСС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('2024'!$B$2,'2024'!$D$2,'2024'!$F$2,'2024'!$H$2,'2024'!$J$2,'2024'!$L$2,'2024'!$N$2,'2024'!$P$2,'2024'!$R$2,'2024'!$T$2,'2024'!$V$2,'2024'!$X$2)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('2024'!$B$5,'2024'!$D$5,'2024'!$F$5,'2024'!$H$5,'2024'!$J$5,'2024'!$L$5,'2024'!$N$5,'2024'!$P$5,'2024'!$R$5,'2024'!$T$5,'2024'!$V$5,'2024'!$X$5)</c:f>
              <c:numCache>
                <c:formatCode>General</c:formatCode>
                <c:ptCount val="12"/>
                <c:pt idx="0">
                  <c:v>17</c:v>
                </c:pt>
                <c:pt idx="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7D-4B65-AE14-6AB9B2E6446E}"/>
            </c:ext>
          </c:extLst>
        </c:ser>
        <c:ser>
          <c:idx val="2"/>
          <c:order val="2"/>
          <c:tx>
            <c:strRef>
              <c:f>'2024'!$A$6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('2024'!$B$2,'2024'!$D$2,'2024'!$F$2,'2024'!$H$2,'2024'!$J$2,'2024'!$L$2,'2024'!$N$2,'2024'!$P$2,'2024'!$R$2,'2024'!$T$2,'2024'!$V$2,'2024'!$X$2)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('2024'!$B$6,'2024'!$D$6,'2024'!$F$6,'2024'!$H$6,'2024'!$J$6,'2024'!$L$6,'2024'!$N$6,'2024'!$P$6,'2024'!$R$6,'2024'!$T$6,'2024'!$V$6,'2024'!$X$6)</c:f>
              <c:numCache>
                <c:formatCode>General</c:formatCode>
                <c:ptCount val="12"/>
                <c:pt idx="0">
                  <c:v>8</c:v>
                </c:pt>
                <c:pt idx="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7D-4B65-AE14-6AB9B2E6446E}"/>
            </c:ext>
          </c:extLst>
        </c:ser>
        <c:ser>
          <c:idx val="3"/>
          <c:order val="3"/>
          <c:tx>
            <c:strRef>
              <c:f>'2024'!$A$7</c:f>
              <c:strCache>
                <c:ptCount val="1"/>
                <c:pt idx="0">
                  <c:v>Юридические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('2024'!$B$2,'2024'!$D$2,'2024'!$F$2,'2024'!$H$2,'2024'!$J$2,'2024'!$L$2,'2024'!$N$2,'2024'!$P$2,'2024'!$R$2,'2024'!$T$2,'2024'!$V$2,'2024'!$X$2)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('2024'!$B$7,'2024'!$D$7,'2024'!$F$7,'2024'!$H$7,'2024'!$J$7,'2024'!$L$7,'2024'!$N$7,'2024'!$P$7,'2024'!$R$7,'2024'!$T$7,'2024'!$V$7,'2024'!$X$7)</c:f>
              <c:numCache>
                <c:formatCode>General</c:formatCode>
                <c:ptCount val="12"/>
                <c:pt idx="0">
                  <c:v>5</c:v>
                </c:pt>
                <c:pt idx="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7D-4B65-AE14-6AB9B2E6446E}"/>
            </c:ext>
          </c:extLst>
        </c:ser>
        <c:ser>
          <c:idx val="4"/>
          <c:order val="4"/>
          <c:tx>
            <c:strRef>
              <c:f>'2024'!$A$8</c:f>
              <c:strCache>
                <c:ptCount val="1"/>
                <c:pt idx="0">
                  <c:v>Другие тематики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('2024'!$B$2,'2024'!$D$2,'2024'!$F$2,'2024'!$H$2,'2024'!$J$2,'2024'!$L$2,'2024'!$N$2,'2024'!$P$2,'2024'!$R$2,'2024'!$T$2,'2024'!$V$2,'2024'!$X$2)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('2024'!$B$8,'2024'!$D$8,'2024'!$F$8,'2024'!$H$8,'2024'!$J$8,'2024'!$L$8,'2024'!$N$8,'2024'!$P$8,'2024'!$R$8,'2024'!$T$8,'2024'!$V$8,'2024'!$X$8)</c:f>
              <c:numCache>
                <c:formatCode>General</c:formatCode>
                <c:ptCount val="12"/>
                <c:pt idx="0">
                  <c:v>4</c:v>
                </c:pt>
                <c:pt idx="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7D-4B65-AE14-6AB9B2E64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4766671"/>
        <c:axId val="1044759599"/>
      </c:lineChart>
      <c:catAx>
        <c:axId val="1044766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44759599"/>
        <c:crosses val="autoZero"/>
        <c:auto val="1"/>
        <c:lblAlgn val="ctr"/>
        <c:lblOffset val="100"/>
        <c:noMultiLvlLbl val="0"/>
      </c:catAx>
      <c:valAx>
        <c:axId val="1044759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44766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solidFill>
            <a:schemeClr val="tx1">
              <a:lumMod val="75000"/>
              <a:lumOff val="2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u="none" strike="noStrike" baseline="0">
                <a:effectLst/>
              </a:rPr>
              <a:t>Количество семей,  по направлениям за 2024 г</a:t>
            </a:r>
            <a:endParaRPr lang="ru-RU"/>
          </a:p>
        </c:rich>
      </c:tx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'2024'!$A$4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('2024'!$C$2,'2024'!$E$2,'2024'!$G$2,'2024'!$I$2,'2024'!$K$2,'2024'!$M$2,'2024'!$O$2,'2024'!$Q$2,'2024'!$S$2,'2024'!$U$2,'2024'!$W$2,'2024'!$Y$2)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('2024'!$C$4,'2024'!$E$4,'2024'!$G$4,'2024'!$I$4,'2024'!$K$4,'2024'!$M$4,'2024'!$O$4,'2024'!$Q$4,'2024'!$S$4,'2024'!$U$4,'2024'!$W$4,'2024'!$Y$4)</c:f>
              <c:numCache>
                <c:formatCode>General</c:formatCode>
                <c:ptCount val="12"/>
                <c:pt idx="0">
                  <c:v>16</c:v>
                </c:pt>
                <c:pt idx="1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8C-4321-A1E2-4655D3A92DD8}"/>
            </c:ext>
          </c:extLst>
        </c:ser>
        <c:ser>
          <c:idx val="1"/>
          <c:order val="1"/>
          <c:tx>
            <c:strRef>
              <c:f>'2024'!$A$5</c:f>
              <c:strCache>
                <c:ptCount val="1"/>
                <c:pt idx="0">
                  <c:v>МСЭ, ТСР, ФСС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('2024'!$C$2,'2024'!$E$2,'2024'!$G$2,'2024'!$I$2,'2024'!$K$2,'2024'!$M$2,'2024'!$O$2,'2024'!$Q$2,'2024'!$S$2,'2024'!$U$2,'2024'!$W$2,'2024'!$Y$2)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('2024'!$C$5,'2024'!$E$5,'2024'!$G$5,'2024'!$I$5,'2024'!$K$5,'2024'!$M$5,'2024'!$O$5,'2024'!$Q$5,'2024'!$S$5,'2024'!$U$5,'2024'!$W$5,'2024'!$Y$5)</c:f>
              <c:numCache>
                <c:formatCode>General</c:formatCode>
                <c:ptCount val="12"/>
                <c:pt idx="0">
                  <c:v>16</c:v>
                </c:pt>
                <c:pt idx="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8C-4321-A1E2-4655D3A92DD8}"/>
            </c:ext>
          </c:extLst>
        </c:ser>
        <c:ser>
          <c:idx val="2"/>
          <c:order val="2"/>
          <c:tx>
            <c:strRef>
              <c:f>'2024'!$A$6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('2024'!$C$2,'2024'!$E$2,'2024'!$G$2,'2024'!$I$2,'2024'!$K$2,'2024'!$M$2,'2024'!$O$2,'2024'!$Q$2,'2024'!$S$2,'2024'!$U$2,'2024'!$W$2,'2024'!$Y$2)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('2024'!$C$6,'2024'!$E$6,'2024'!$G$6,'2024'!$I$6,'2024'!$K$6,'2024'!$M$6,'2024'!$O$6,'2024'!$Q$6,'2024'!$S$6,'2024'!$U$6,'2024'!$W$6,'2024'!$Y$6)</c:f>
              <c:numCache>
                <c:formatCode>General</c:formatCode>
                <c:ptCount val="12"/>
                <c:pt idx="0">
                  <c:v>8</c:v>
                </c:pt>
                <c:pt idx="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8C-4321-A1E2-4655D3A92DD8}"/>
            </c:ext>
          </c:extLst>
        </c:ser>
        <c:ser>
          <c:idx val="3"/>
          <c:order val="3"/>
          <c:tx>
            <c:strRef>
              <c:f>'2024'!$A$7</c:f>
              <c:strCache>
                <c:ptCount val="1"/>
                <c:pt idx="0">
                  <c:v>Юридические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('2024'!$C$2,'2024'!$E$2,'2024'!$G$2,'2024'!$I$2,'2024'!$K$2,'2024'!$M$2,'2024'!$O$2,'2024'!$Q$2,'2024'!$S$2,'2024'!$U$2,'2024'!$W$2,'2024'!$Y$2)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('2024'!$C$7,'2024'!$E$7,'2024'!$G$7,'2024'!$I$7,'2024'!$K$7,'2024'!$M$7,'2024'!$O$7,'2024'!$Q$7,'2024'!$S$7,'2024'!$U$7,'2024'!$W$7,'2024'!$Y$7)</c:f>
              <c:numCache>
                <c:formatCode>General</c:formatCode>
                <c:ptCount val="12"/>
                <c:pt idx="0">
                  <c:v>5</c:v>
                </c:pt>
                <c:pt idx="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8C-4321-A1E2-4655D3A92DD8}"/>
            </c:ext>
          </c:extLst>
        </c:ser>
        <c:ser>
          <c:idx val="4"/>
          <c:order val="4"/>
          <c:tx>
            <c:strRef>
              <c:f>'2024'!$A$8</c:f>
              <c:strCache>
                <c:ptCount val="1"/>
                <c:pt idx="0">
                  <c:v>Другие тематики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('2024'!$C$2,'2024'!$E$2,'2024'!$G$2,'2024'!$I$2,'2024'!$K$2,'2024'!$M$2,'2024'!$O$2,'2024'!$Q$2,'2024'!$S$2,'2024'!$U$2,'2024'!$W$2,'2024'!$Y$2)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('2024'!$C$8,'2024'!$E$8,'2024'!$G$8,'2024'!$I$8,'2024'!$K$8,'2024'!$M$8,'2024'!$O$8,'2024'!$Q$8,'2024'!$S$8,'2024'!$U$8,'2024'!$W$8,'2024'!$Y$8)</c:f>
              <c:numCache>
                <c:formatCode>General</c:formatCode>
                <c:ptCount val="12"/>
                <c:pt idx="0">
                  <c:v>4</c:v>
                </c:pt>
                <c:pt idx="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8C-4321-A1E2-4655D3A92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4766671"/>
        <c:axId val="1044759599"/>
      </c:lineChart>
      <c:catAx>
        <c:axId val="1044766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44759599"/>
        <c:crosses val="autoZero"/>
        <c:auto val="1"/>
        <c:lblAlgn val="ctr"/>
        <c:lblOffset val="100"/>
        <c:noMultiLvlLbl val="0"/>
      </c:catAx>
      <c:valAx>
        <c:axId val="1044759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44766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solidFill>
            <a:schemeClr val="tx1">
              <a:lumMod val="75000"/>
              <a:lumOff val="2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baseline="0">
                <a:effectLst/>
              </a:rPr>
              <a:t>Количество обращений и обратившихся семей в Семейные приемные ВОРДИ Красноярского края за 2024 г. </a:t>
            </a:r>
            <a:endParaRPr lang="ru-RU" sz="14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ru-RU" sz="1400" b="0" i="0" u="none" strike="noStrike" baseline="0"/>
              <a:t> </a:t>
            </a:r>
            <a:endParaRPr lang="ru-RU"/>
          </a:p>
        </c:rich>
      </c:tx>
      <c:layout>
        <c:manualLayout>
          <c:xMode val="edge"/>
          <c:yMode val="edge"/>
          <c:x val="0.14149000605693518"/>
          <c:y val="2.28898391943737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'2024_1 '!$C$14</c:f>
              <c:strCache>
                <c:ptCount val="1"/>
                <c:pt idx="0">
                  <c:v>количество обращений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'2024_1 '!$B$15:$B$26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 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'2024_1 '!$C$15:$C$26</c:f>
              <c:numCache>
                <c:formatCode>General</c:formatCode>
                <c:ptCount val="12"/>
                <c:pt idx="0">
                  <c:v>50</c:v>
                </c:pt>
                <c:pt idx="1">
                  <c:v>58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37-4C54-841C-C50D57D25997}"/>
            </c:ext>
          </c:extLst>
        </c:ser>
        <c:ser>
          <c:idx val="1"/>
          <c:order val="1"/>
          <c:tx>
            <c:strRef>
              <c:f>'2024_1 '!$D$14</c:f>
              <c:strCache>
                <c:ptCount val="1"/>
                <c:pt idx="0">
                  <c:v>количество семей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'2024_1 '!$B$15:$B$26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 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'2024_1 '!$D$15:$D$26</c:f>
              <c:numCache>
                <c:formatCode>General</c:formatCode>
                <c:ptCount val="12"/>
                <c:pt idx="0">
                  <c:v>49</c:v>
                </c:pt>
                <c:pt idx="1">
                  <c:v>52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37-4C54-841C-C50D57D25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5110127"/>
        <c:axId val="1041108271"/>
      </c:barChart>
      <c:catAx>
        <c:axId val="1095110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41108271"/>
        <c:crosses val="autoZero"/>
        <c:auto val="1"/>
        <c:lblAlgn val="ctr"/>
        <c:lblOffset val="100"/>
        <c:noMultiLvlLbl val="0"/>
      </c:catAx>
      <c:valAx>
        <c:axId val="1041108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95110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Количество семей, обратившихся в Семейные приемные ВОРДИ Красноярского края в 2021 г по направлениям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8.6141719138479039E-2"/>
          <c:y val="0.19374838584366216"/>
          <c:w val="0.86959472172454344"/>
          <c:h val="0.660301999312716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'2021'!$B$4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('2021'!$C$2,'2021'!$E$2,'2021'!$G$2,'2021'!$I$2,'2021'!$K$2,'2021'!$M$2)</c:f>
              <c:strCache>
                <c:ptCount val="6"/>
                <c:pt idx="0">
                  <c:v>июль</c:v>
                </c:pt>
                <c:pt idx="1">
                  <c:v>август</c:v>
                </c:pt>
                <c:pt idx="2">
                  <c:v>сентябрь</c:v>
                </c:pt>
                <c:pt idx="3">
                  <c:v>октябрь</c:v>
                </c:pt>
                <c:pt idx="4">
                  <c:v>ноябрь</c:v>
                </c:pt>
                <c:pt idx="5">
                  <c:v>декабрь</c:v>
                </c:pt>
              </c:strCache>
            </c:strRef>
          </c:cat>
          <c:val>
            <c:numRef>
              <c:f>('2021'!$D$4,'2021'!$F$4,'2021'!$H$4,'2021'!$J$4,'2021'!$L$4,'2021'!$N$4)</c:f>
              <c:numCache>
                <c:formatCode>General</c:formatCode>
                <c:ptCount val="6"/>
                <c:pt idx="0">
                  <c:v>61</c:v>
                </c:pt>
                <c:pt idx="1">
                  <c:v>105</c:v>
                </c:pt>
                <c:pt idx="2">
                  <c:v>22</c:v>
                </c:pt>
                <c:pt idx="3">
                  <c:v>9</c:v>
                </c:pt>
                <c:pt idx="4">
                  <c:v>10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E0-4049-9A22-5195FA3156A6}"/>
            </c:ext>
          </c:extLst>
        </c:ser>
        <c:ser>
          <c:idx val="1"/>
          <c:order val="1"/>
          <c:tx>
            <c:strRef>
              <c:f>'2021'!$B$5</c:f>
              <c:strCache>
                <c:ptCount val="1"/>
                <c:pt idx="0">
                  <c:v>МСЭ, ТСР, ФСС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('2021'!$C$2,'2021'!$E$2,'2021'!$G$2,'2021'!$I$2,'2021'!$K$2,'2021'!$M$2)</c:f>
              <c:strCache>
                <c:ptCount val="6"/>
                <c:pt idx="0">
                  <c:v>июль</c:v>
                </c:pt>
                <c:pt idx="1">
                  <c:v>август</c:v>
                </c:pt>
                <c:pt idx="2">
                  <c:v>сентябрь</c:v>
                </c:pt>
                <c:pt idx="3">
                  <c:v>октябрь</c:v>
                </c:pt>
                <c:pt idx="4">
                  <c:v>ноябрь</c:v>
                </c:pt>
                <c:pt idx="5">
                  <c:v>декабрь</c:v>
                </c:pt>
              </c:strCache>
            </c:strRef>
          </c:cat>
          <c:val>
            <c:numRef>
              <c:f>('2021'!$D$5,'2021'!$F$5,'2021'!$H$5,'2021'!$J$5,'2021'!$L$5,'2021'!$N$5)</c:f>
              <c:numCache>
                <c:formatCode>General</c:formatCode>
                <c:ptCount val="6"/>
                <c:pt idx="0">
                  <c:v>6</c:v>
                </c:pt>
                <c:pt idx="1">
                  <c:v>16</c:v>
                </c:pt>
                <c:pt idx="2">
                  <c:v>7</c:v>
                </c:pt>
                <c:pt idx="3">
                  <c:v>12</c:v>
                </c:pt>
                <c:pt idx="4">
                  <c:v>7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E0-4049-9A22-5195FA3156A6}"/>
            </c:ext>
          </c:extLst>
        </c:ser>
        <c:ser>
          <c:idx val="2"/>
          <c:order val="2"/>
          <c:tx>
            <c:strRef>
              <c:f>'2021'!$B$6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('2021'!$C$2,'2021'!$E$2,'2021'!$G$2,'2021'!$I$2,'2021'!$K$2,'2021'!$M$2)</c:f>
              <c:strCache>
                <c:ptCount val="6"/>
                <c:pt idx="0">
                  <c:v>июль</c:v>
                </c:pt>
                <c:pt idx="1">
                  <c:v>август</c:v>
                </c:pt>
                <c:pt idx="2">
                  <c:v>сентябрь</c:v>
                </c:pt>
                <c:pt idx="3">
                  <c:v>октябрь</c:v>
                </c:pt>
                <c:pt idx="4">
                  <c:v>ноябрь</c:v>
                </c:pt>
                <c:pt idx="5">
                  <c:v>декабрь</c:v>
                </c:pt>
              </c:strCache>
            </c:strRef>
          </c:cat>
          <c:val>
            <c:numRef>
              <c:f>('2021'!$D$6,'2021'!$F$6,'2021'!$H$6,'2021'!$J$6,'2021'!$L$6,'2021'!$N$6)</c:f>
              <c:numCache>
                <c:formatCode>General</c:formatCode>
                <c:ptCount val="6"/>
                <c:pt idx="0">
                  <c:v>1</c:v>
                </c:pt>
                <c:pt idx="1">
                  <c:v>8</c:v>
                </c:pt>
                <c:pt idx="2">
                  <c:v>9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E0-4049-9A22-5195FA3156A6}"/>
            </c:ext>
          </c:extLst>
        </c:ser>
        <c:ser>
          <c:idx val="3"/>
          <c:order val="3"/>
          <c:tx>
            <c:strRef>
              <c:f>'2021'!$B$7</c:f>
              <c:strCache>
                <c:ptCount val="1"/>
                <c:pt idx="0">
                  <c:v>Юридические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('2021'!$C$2,'2021'!$E$2,'2021'!$G$2,'2021'!$I$2,'2021'!$K$2,'2021'!$M$2)</c:f>
              <c:strCache>
                <c:ptCount val="6"/>
                <c:pt idx="0">
                  <c:v>июль</c:v>
                </c:pt>
                <c:pt idx="1">
                  <c:v>август</c:v>
                </c:pt>
                <c:pt idx="2">
                  <c:v>сентябрь</c:v>
                </c:pt>
                <c:pt idx="3">
                  <c:v>октябрь</c:v>
                </c:pt>
                <c:pt idx="4">
                  <c:v>ноябрь</c:v>
                </c:pt>
                <c:pt idx="5">
                  <c:v>декабрь</c:v>
                </c:pt>
              </c:strCache>
            </c:strRef>
          </c:cat>
          <c:val>
            <c:numRef>
              <c:f>('2021'!$D$7,'2021'!$F$7,'2021'!$H$7,'2021'!$J$7,'2021'!$L$7,'2021'!$N$7)</c:f>
              <c:numCache>
                <c:formatCode>General</c:formatCode>
                <c:ptCount val="6"/>
                <c:pt idx="0">
                  <c:v>3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E0-4049-9A22-5195FA3156A6}"/>
            </c:ext>
          </c:extLst>
        </c:ser>
        <c:ser>
          <c:idx val="4"/>
          <c:order val="4"/>
          <c:tx>
            <c:strRef>
              <c:f>'2021'!$B$8</c:f>
              <c:strCache>
                <c:ptCount val="1"/>
                <c:pt idx="0">
                  <c:v>Другие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('2021'!$C$2,'2021'!$E$2,'2021'!$G$2,'2021'!$I$2,'2021'!$K$2,'2021'!$M$2)</c:f>
              <c:strCache>
                <c:ptCount val="6"/>
                <c:pt idx="0">
                  <c:v>июль</c:v>
                </c:pt>
                <c:pt idx="1">
                  <c:v>август</c:v>
                </c:pt>
                <c:pt idx="2">
                  <c:v>сентябрь</c:v>
                </c:pt>
                <c:pt idx="3">
                  <c:v>октябрь</c:v>
                </c:pt>
                <c:pt idx="4">
                  <c:v>ноябрь</c:v>
                </c:pt>
                <c:pt idx="5">
                  <c:v>декабрь</c:v>
                </c:pt>
              </c:strCache>
            </c:strRef>
          </c:cat>
          <c:val>
            <c:numRef>
              <c:f>('2021'!$D$8,'2021'!$F$8,'2021'!$H$8,'2021'!$J$8,'2021'!$L$8,'2021'!$N$8)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E0-4049-9A22-5195FA315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0185584"/>
        <c:axId val="100187664"/>
      </c:barChart>
      <c:catAx>
        <c:axId val="100185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187664"/>
        <c:crosses val="autoZero"/>
        <c:auto val="1"/>
        <c:lblAlgn val="ctr"/>
        <c:lblOffset val="100"/>
        <c:noMultiLvlLbl val="0"/>
      </c:catAx>
      <c:valAx>
        <c:axId val="100187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0185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300"/>
              <a:t>Количество обращений и семей в Семейные приемные ВОРДИ Красноярского края за 2021 г. </a:t>
            </a:r>
          </a:p>
        </c:rich>
      </c:tx>
      <c:layout>
        <c:manualLayout>
          <c:xMode val="edge"/>
          <c:yMode val="edge"/>
          <c:x val="0.14980716451539447"/>
          <c:y val="2.5974025974025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'2021_1'!$D$14</c:f>
              <c:strCache>
                <c:ptCount val="1"/>
                <c:pt idx="0">
                  <c:v>количество обращений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'2021_1'!$C$15:$C$20</c:f>
              <c:strCache>
                <c:ptCount val="6"/>
                <c:pt idx="0">
                  <c:v>июль</c:v>
                </c:pt>
                <c:pt idx="1">
                  <c:v>август </c:v>
                </c:pt>
                <c:pt idx="2">
                  <c:v>сентябрь</c:v>
                </c:pt>
                <c:pt idx="3">
                  <c:v>октябрь</c:v>
                </c:pt>
                <c:pt idx="4">
                  <c:v>ноябрь</c:v>
                </c:pt>
                <c:pt idx="5">
                  <c:v>декабрь</c:v>
                </c:pt>
              </c:strCache>
            </c:strRef>
          </c:cat>
          <c:val>
            <c:numRef>
              <c:f>'2021_1'!$D$15:$D$20</c:f>
              <c:numCache>
                <c:formatCode>General</c:formatCode>
                <c:ptCount val="6"/>
                <c:pt idx="0">
                  <c:v>73</c:v>
                </c:pt>
                <c:pt idx="1">
                  <c:v>147</c:v>
                </c:pt>
                <c:pt idx="2">
                  <c:v>46</c:v>
                </c:pt>
                <c:pt idx="3">
                  <c:v>34</c:v>
                </c:pt>
                <c:pt idx="4">
                  <c:v>32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92-46D2-9F7A-5A397A83E0A1}"/>
            </c:ext>
          </c:extLst>
        </c:ser>
        <c:ser>
          <c:idx val="1"/>
          <c:order val="1"/>
          <c:tx>
            <c:strRef>
              <c:f>'2021_1'!$E$14</c:f>
              <c:strCache>
                <c:ptCount val="1"/>
                <c:pt idx="0">
                  <c:v>количество семей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'2021_1'!$C$15:$C$20</c:f>
              <c:strCache>
                <c:ptCount val="6"/>
                <c:pt idx="0">
                  <c:v>июль</c:v>
                </c:pt>
                <c:pt idx="1">
                  <c:v>август </c:v>
                </c:pt>
                <c:pt idx="2">
                  <c:v>сентябрь</c:v>
                </c:pt>
                <c:pt idx="3">
                  <c:v>октябрь</c:v>
                </c:pt>
                <c:pt idx="4">
                  <c:v>ноябрь</c:v>
                </c:pt>
                <c:pt idx="5">
                  <c:v>декабрь</c:v>
                </c:pt>
              </c:strCache>
            </c:strRef>
          </c:cat>
          <c:val>
            <c:numRef>
              <c:f>'2021_1'!$E$15:$E$20</c:f>
              <c:numCache>
                <c:formatCode>General</c:formatCode>
                <c:ptCount val="6"/>
                <c:pt idx="0">
                  <c:v>73</c:v>
                </c:pt>
                <c:pt idx="1">
                  <c:v>137</c:v>
                </c:pt>
                <c:pt idx="2">
                  <c:v>42</c:v>
                </c:pt>
                <c:pt idx="3">
                  <c:v>32</c:v>
                </c:pt>
                <c:pt idx="4">
                  <c:v>27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92-46D2-9F7A-5A397A83E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626864"/>
        <c:axId val="37645584"/>
      </c:barChart>
      <c:catAx>
        <c:axId val="3762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645584"/>
        <c:crosses val="autoZero"/>
        <c:auto val="1"/>
        <c:lblAlgn val="ctr"/>
        <c:lblOffset val="100"/>
        <c:noMultiLvlLbl val="0"/>
      </c:catAx>
      <c:valAx>
        <c:axId val="3764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626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u="none" strike="noStrike" baseline="0">
                <a:effectLst/>
              </a:rPr>
              <a:t>Количество обращений по направлениям за 2022 г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'2022'!$A$4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('2022'!$B$2,'2022'!$D$2,'2022'!$F$2,'2022'!$H$2,'2022'!$J$2,'2022'!$L$2,'2022'!$N$2,'2022'!$P$2,'2022'!$R$2,'2022'!$T$2,'2022'!$V$2,'2022'!$X$2)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('2022'!$B$4,'2022'!$D$4,'2022'!$F$4,'2022'!$H$4,'2022'!$J$4,'2022'!$L$4,'2022'!$N$4,'2022'!$P$4,'2022'!$R$4,'2022'!$T$4,'2022'!$V$4,'2022'!$X$4)</c:f>
              <c:numCache>
                <c:formatCode>General</c:formatCode>
                <c:ptCount val="12"/>
                <c:pt idx="0">
                  <c:v>24</c:v>
                </c:pt>
                <c:pt idx="1">
                  <c:v>38</c:v>
                </c:pt>
                <c:pt idx="2">
                  <c:v>16</c:v>
                </c:pt>
                <c:pt idx="3">
                  <c:v>20</c:v>
                </c:pt>
                <c:pt idx="4">
                  <c:v>33</c:v>
                </c:pt>
                <c:pt idx="5">
                  <c:v>14</c:v>
                </c:pt>
                <c:pt idx="6">
                  <c:v>14</c:v>
                </c:pt>
                <c:pt idx="7">
                  <c:v>79</c:v>
                </c:pt>
                <c:pt idx="8">
                  <c:v>65</c:v>
                </c:pt>
                <c:pt idx="9">
                  <c:v>44</c:v>
                </c:pt>
                <c:pt idx="10">
                  <c:v>15</c:v>
                </c:pt>
                <c:pt idx="11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36-4568-AEDF-5FEBC0BFA3BE}"/>
            </c:ext>
          </c:extLst>
        </c:ser>
        <c:ser>
          <c:idx val="1"/>
          <c:order val="1"/>
          <c:tx>
            <c:strRef>
              <c:f>'2022'!$A$5</c:f>
              <c:strCache>
                <c:ptCount val="1"/>
                <c:pt idx="0">
                  <c:v>МСЭ, ТСР, ФСС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('2022'!$B$2,'2022'!$D$2,'2022'!$F$2,'2022'!$H$2,'2022'!$J$2,'2022'!$L$2,'2022'!$N$2,'2022'!$P$2,'2022'!$R$2,'2022'!$T$2,'2022'!$V$2,'2022'!$X$2)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('2022'!$B$5,'2022'!$D$5,'2022'!$F$5,'2022'!$H$5,'2022'!$J$5,'2022'!$L$5,'2022'!$N$5,'2022'!$P$5,'2022'!$R$5,'2022'!$T$5,'2022'!$V$5,'2022'!$X$5)</c:f>
              <c:numCache>
                <c:formatCode>General</c:formatCode>
                <c:ptCount val="12"/>
                <c:pt idx="0">
                  <c:v>20</c:v>
                </c:pt>
                <c:pt idx="1">
                  <c:v>18</c:v>
                </c:pt>
                <c:pt idx="2">
                  <c:v>24</c:v>
                </c:pt>
                <c:pt idx="3">
                  <c:v>35</c:v>
                </c:pt>
                <c:pt idx="4">
                  <c:v>51</c:v>
                </c:pt>
                <c:pt idx="5">
                  <c:v>35</c:v>
                </c:pt>
                <c:pt idx="6">
                  <c:v>77</c:v>
                </c:pt>
                <c:pt idx="7">
                  <c:v>71</c:v>
                </c:pt>
                <c:pt idx="8">
                  <c:v>52</c:v>
                </c:pt>
                <c:pt idx="9">
                  <c:v>32</c:v>
                </c:pt>
                <c:pt idx="10">
                  <c:v>70</c:v>
                </c:pt>
                <c:pt idx="1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36-4568-AEDF-5FEBC0BFA3BE}"/>
            </c:ext>
          </c:extLst>
        </c:ser>
        <c:ser>
          <c:idx val="2"/>
          <c:order val="2"/>
          <c:tx>
            <c:strRef>
              <c:f>'2022'!$A$6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('2022'!$B$2,'2022'!$D$2,'2022'!$F$2,'2022'!$H$2,'2022'!$J$2,'2022'!$L$2,'2022'!$N$2,'2022'!$P$2,'2022'!$R$2,'2022'!$T$2,'2022'!$V$2,'2022'!$X$2)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('2022'!$B$6,'2022'!$D$6,'2022'!$F$6,'2022'!$H$6,'2022'!$J$6,'2022'!$L$6,'2022'!$N$6,'2022'!$P$6,'2022'!$R$6,'2022'!$T$6,'2022'!$V$6,'2022'!$X$6)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17</c:v>
                </c:pt>
                <c:pt idx="4">
                  <c:v>5</c:v>
                </c:pt>
                <c:pt idx="5">
                  <c:v>9</c:v>
                </c:pt>
                <c:pt idx="6">
                  <c:v>2</c:v>
                </c:pt>
                <c:pt idx="7">
                  <c:v>12</c:v>
                </c:pt>
                <c:pt idx="8">
                  <c:v>12</c:v>
                </c:pt>
                <c:pt idx="9">
                  <c:v>5</c:v>
                </c:pt>
                <c:pt idx="10">
                  <c:v>10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36-4568-AEDF-5FEBC0BFA3BE}"/>
            </c:ext>
          </c:extLst>
        </c:ser>
        <c:ser>
          <c:idx val="3"/>
          <c:order val="3"/>
          <c:tx>
            <c:strRef>
              <c:f>'2022'!$A$7</c:f>
              <c:strCache>
                <c:ptCount val="1"/>
                <c:pt idx="0">
                  <c:v>Юридические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('2022'!$B$2,'2022'!$D$2,'2022'!$F$2,'2022'!$H$2,'2022'!$J$2,'2022'!$L$2,'2022'!$N$2,'2022'!$P$2,'2022'!$R$2,'2022'!$T$2,'2022'!$V$2,'2022'!$X$2)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('2022'!$B$7,'2022'!$D$7,'2022'!$F$7,'2022'!$H$7,'2022'!$J$7,'2022'!$L$7,'2022'!$N$7,'2022'!$P$7,'2022'!$R$7,'2022'!$T$7,'2022'!$V$7,'2022'!$X$7)</c:f>
              <c:numCache>
                <c:formatCode>General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188</c:v>
                </c:pt>
                <c:pt idx="9">
                  <c:v>8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36-4568-AEDF-5FEBC0BFA3BE}"/>
            </c:ext>
          </c:extLst>
        </c:ser>
        <c:ser>
          <c:idx val="4"/>
          <c:order val="4"/>
          <c:tx>
            <c:strRef>
              <c:f>'2022'!$A$8</c:f>
              <c:strCache>
                <c:ptCount val="1"/>
                <c:pt idx="0">
                  <c:v>Другие тематики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('2022'!$B$2,'2022'!$D$2,'2022'!$F$2,'2022'!$H$2,'2022'!$J$2,'2022'!$L$2,'2022'!$N$2,'2022'!$P$2,'2022'!$R$2,'2022'!$T$2,'2022'!$V$2,'2022'!$X$2)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('2022'!$B$8,'2022'!$D$8,'2022'!$F$8,'2022'!$H$8,'2022'!$J$8,'2022'!$L$8,'2022'!$N$8,'2022'!$P$8,'2022'!$R$8,'2022'!$T$8,'2022'!$V$8,'2022'!$X$8)</c:f>
              <c:numCache>
                <c:formatCode>General</c:formatCode>
                <c:ptCount val="12"/>
                <c:pt idx="0">
                  <c:v>3</c:v>
                </c:pt>
                <c:pt idx="1">
                  <c:v>14</c:v>
                </c:pt>
                <c:pt idx="2">
                  <c:v>1</c:v>
                </c:pt>
                <c:pt idx="3">
                  <c:v>2</c:v>
                </c:pt>
                <c:pt idx="4">
                  <c:v>13</c:v>
                </c:pt>
                <c:pt idx="5">
                  <c:v>6</c:v>
                </c:pt>
                <c:pt idx="6">
                  <c:v>5</c:v>
                </c:pt>
                <c:pt idx="7">
                  <c:v>10</c:v>
                </c:pt>
                <c:pt idx="8">
                  <c:v>23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36-4568-AEDF-5FEBC0BFA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4766671"/>
        <c:axId val="1044759599"/>
      </c:lineChart>
      <c:catAx>
        <c:axId val="1044766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44759599"/>
        <c:crosses val="autoZero"/>
        <c:auto val="1"/>
        <c:lblAlgn val="ctr"/>
        <c:lblOffset val="100"/>
        <c:noMultiLvlLbl val="0"/>
      </c:catAx>
      <c:valAx>
        <c:axId val="1044759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44766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solidFill>
            <a:schemeClr val="tx1">
              <a:lumMod val="75000"/>
              <a:lumOff val="2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>
          <a:alpha val="92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u="none" strike="noStrike" baseline="0">
                <a:effectLst/>
              </a:rPr>
              <a:t>Количество семей, по направлениям за 2022 г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'2022'!$A$4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('2022'!$C$2,'2022'!$E$2,'2022'!$G$2,'2022'!$I$2,'2022'!$K$2,'2022'!$M$2,'2022'!$O$2,'2022'!$Q$2,'2022'!$S$2,'2022'!$U$2,'2022'!$W$2,'2022'!$Y$2)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('2022'!$C$4,'2022'!$E$4,'2022'!$G$4,'2022'!$I$4,'2022'!$K$4,'2022'!$M$4,'2022'!$O$4,'2022'!$Q$4,'2022'!$S$4,'2022'!$U$4,'2022'!$W$4,'2022'!$Y$4)</c:f>
              <c:numCache>
                <c:formatCode>General</c:formatCode>
                <c:ptCount val="12"/>
                <c:pt idx="0">
                  <c:v>22</c:v>
                </c:pt>
                <c:pt idx="1">
                  <c:v>32</c:v>
                </c:pt>
                <c:pt idx="2">
                  <c:v>15</c:v>
                </c:pt>
                <c:pt idx="3">
                  <c:v>20</c:v>
                </c:pt>
                <c:pt idx="4">
                  <c:v>31</c:v>
                </c:pt>
                <c:pt idx="5">
                  <c:v>10</c:v>
                </c:pt>
                <c:pt idx="6">
                  <c:v>14</c:v>
                </c:pt>
                <c:pt idx="7">
                  <c:v>69</c:v>
                </c:pt>
                <c:pt idx="8">
                  <c:v>57</c:v>
                </c:pt>
                <c:pt idx="9">
                  <c:v>40</c:v>
                </c:pt>
                <c:pt idx="10">
                  <c:v>15</c:v>
                </c:pt>
                <c:pt idx="11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C0-4937-8A0C-AFC1BC9C1828}"/>
            </c:ext>
          </c:extLst>
        </c:ser>
        <c:ser>
          <c:idx val="1"/>
          <c:order val="1"/>
          <c:tx>
            <c:strRef>
              <c:f>'2022'!$A$5</c:f>
              <c:strCache>
                <c:ptCount val="1"/>
                <c:pt idx="0">
                  <c:v>МСЭ, ТСР, ФСС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('2022'!$C$2,'2022'!$E$2,'2022'!$G$2,'2022'!$I$2,'2022'!$K$2,'2022'!$M$2,'2022'!$O$2,'2022'!$Q$2,'2022'!$S$2,'2022'!$U$2,'2022'!$W$2,'2022'!$Y$2)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('2022'!$C$5,'2022'!$E$5,'2022'!$G$5,'2022'!$I$5,'2022'!$K$5,'2022'!$M$5,'2022'!$O$5,'2022'!$Q$5,'2022'!$S$5,'2022'!$U$5,'2022'!$W$5,'2022'!$Y$5)</c:f>
              <c:numCache>
                <c:formatCode>General</c:formatCode>
                <c:ptCount val="12"/>
                <c:pt idx="0">
                  <c:v>18</c:v>
                </c:pt>
                <c:pt idx="1">
                  <c:v>18</c:v>
                </c:pt>
                <c:pt idx="2">
                  <c:v>24</c:v>
                </c:pt>
                <c:pt idx="3">
                  <c:v>29</c:v>
                </c:pt>
                <c:pt idx="4">
                  <c:v>48</c:v>
                </c:pt>
                <c:pt idx="5">
                  <c:v>31</c:v>
                </c:pt>
                <c:pt idx="6">
                  <c:v>69</c:v>
                </c:pt>
                <c:pt idx="7">
                  <c:v>64</c:v>
                </c:pt>
                <c:pt idx="8">
                  <c:v>51</c:v>
                </c:pt>
                <c:pt idx="9">
                  <c:v>31</c:v>
                </c:pt>
                <c:pt idx="10">
                  <c:v>61</c:v>
                </c:pt>
                <c:pt idx="11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C0-4937-8A0C-AFC1BC9C1828}"/>
            </c:ext>
          </c:extLst>
        </c:ser>
        <c:ser>
          <c:idx val="2"/>
          <c:order val="2"/>
          <c:tx>
            <c:strRef>
              <c:f>'2022'!$A$6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('2022'!$C$2,'2022'!$E$2,'2022'!$G$2,'2022'!$I$2,'2022'!$K$2,'2022'!$M$2,'2022'!$O$2,'2022'!$Q$2,'2022'!$S$2,'2022'!$U$2,'2022'!$W$2,'2022'!$Y$2)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('2022'!$C$6,'2022'!$E$6,'2022'!$G$6,'2022'!$I$6,'2022'!$K$6,'2022'!$M$6,'2022'!$O$6,'2022'!$Q$6,'2022'!$S$6,'2022'!$U$6,'2022'!$W$6,'2022'!$Y$6)</c:f>
              <c:numCache>
                <c:formatCode>General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17</c:v>
                </c:pt>
                <c:pt idx="4">
                  <c:v>4</c:v>
                </c:pt>
                <c:pt idx="5">
                  <c:v>9</c:v>
                </c:pt>
                <c:pt idx="6">
                  <c:v>2</c:v>
                </c:pt>
                <c:pt idx="7">
                  <c:v>11</c:v>
                </c:pt>
                <c:pt idx="8">
                  <c:v>12</c:v>
                </c:pt>
                <c:pt idx="9">
                  <c:v>5</c:v>
                </c:pt>
                <c:pt idx="10">
                  <c:v>9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C0-4937-8A0C-AFC1BC9C1828}"/>
            </c:ext>
          </c:extLst>
        </c:ser>
        <c:ser>
          <c:idx val="3"/>
          <c:order val="3"/>
          <c:tx>
            <c:strRef>
              <c:f>'2022'!$A$7</c:f>
              <c:strCache>
                <c:ptCount val="1"/>
                <c:pt idx="0">
                  <c:v>Юридические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('2022'!$C$2,'2022'!$E$2,'2022'!$G$2,'2022'!$I$2,'2022'!$K$2,'2022'!$M$2,'2022'!$O$2,'2022'!$Q$2,'2022'!$S$2,'2022'!$U$2,'2022'!$W$2,'2022'!$Y$2)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('2022'!$C$7,'2022'!$E$7,'2022'!$G$7,'2022'!$I$7,'2022'!$K$7,'2022'!$M$7,'2022'!$O$7,'2022'!$Q$7,'2022'!$S$7,'2022'!$U$7,'2022'!$W$7,'2022'!$Y$7)</c:f>
              <c:numCache>
                <c:formatCode>General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177</c:v>
                </c:pt>
                <c:pt idx="9">
                  <c:v>8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C0-4937-8A0C-AFC1BC9C1828}"/>
            </c:ext>
          </c:extLst>
        </c:ser>
        <c:ser>
          <c:idx val="4"/>
          <c:order val="4"/>
          <c:tx>
            <c:strRef>
              <c:f>'2022'!$A$8</c:f>
              <c:strCache>
                <c:ptCount val="1"/>
                <c:pt idx="0">
                  <c:v>Другие тематики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('2022'!$C$2,'2022'!$E$2,'2022'!$G$2,'2022'!$I$2,'2022'!$K$2,'2022'!$M$2,'2022'!$O$2,'2022'!$Q$2,'2022'!$S$2,'2022'!$U$2,'2022'!$W$2,'2022'!$Y$2)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('2022'!$C$8,'2022'!$E$8,'2022'!$G$8,'2022'!$I$8,'2022'!$K$8,'2022'!$M$8,'2022'!$O$8,'2022'!$Q$8,'2022'!$S$8,'2022'!$U$8,'2022'!$W$8,'2022'!$Y$8)</c:f>
              <c:numCache>
                <c:formatCode>General</c:formatCode>
                <c:ptCount val="12"/>
                <c:pt idx="0">
                  <c:v>2</c:v>
                </c:pt>
                <c:pt idx="1">
                  <c:v>10</c:v>
                </c:pt>
                <c:pt idx="2">
                  <c:v>1</c:v>
                </c:pt>
                <c:pt idx="3">
                  <c:v>1</c:v>
                </c:pt>
                <c:pt idx="4">
                  <c:v>12</c:v>
                </c:pt>
                <c:pt idx="5">
                  <c:v>5</c:v>
                </c:pt>
                <c:pt idx="6">
                  <c:v>2</c:v>
                </c:pt>
                <c:pt idx="7">
                  <c:v>5</c:v>
                </c:pt>
                <c:pt idx="8">
                  <c:v>12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C0-4937-8A0C-AFC1BC9C1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4766671"/>
        <c:axId val="1044759599"/>
      </c:lineChart>
      <c:catAx>
        <c:axId val="1044766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44759599"/>
        <c:crosses val="autoZero"/>
        <c:auto val="1"/>
        <c:lblAlgn val="ctr"/>
        <c:lblOffset val="100"/>
        <c:noMultiLvlLbl val="0"/>
      </c:catAx>
      <c:valAx>
        <c:axId val="1044759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44766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solidFill>
            <a:schemeClr val="tx1">
              <a:lumMod val="75000"/>
              <a:lumOff val="2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>
          <a:alpha val="92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baseline="0">
                <a:effectLst/>
              </a:rPr>
              <a:t>Количество обращений и обратившихся семей в Семейные приемные ВОРДИ Красноярского края за 2022 г. </a:t>
            </a:r>
            <a:endParaRPr lang="ru-RU" sz="14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ru-RU" sz="1400" b="0" i="0" u="none" strike="noStrike" baseline="0"/>
              <a:t> </a:t>
            </a:r>
            <a:endParaRPr lang="ru-RU"/>
          </a:p>
        </c:rich>
      </c:tx>
      <c:layout>
        <c:manualLayout>
          <c:xMode val="edge"/>
          <c:yMode val="edge"/>
          <c:x val="0.14149000605693518"/>
          <c:y val="2.28898391943737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'2022_1'!$C$14</c:f>
              <c:strCache>
                <c:ptCount val="1"/>
                <c:pt idx="0">
                  <c:v>количество обращений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'2022_1'!$B$15:$B$26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 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'2022_1'!$C$15:$C$26</c:f>
              <c:numCache>
                <c:formatCode>General</c:formatCode>
                <c:ptCount val="12"/>
                <c:pt idx="0">
                  <c:v>54</c:v>
                </c:pt>
                <c:pt idx="1">
                  <c:v>80</c:v>
                </c:pt>
                <c:pt idx="2">
                  <c:v>48</c:v>
                </c:pt>
                <c:pt idx="3">
                  <c:v>76</c:v>
                </c:pt>
                <c:pt idx="4">
                  <c:v>105</c:v>
                </c:pt>
                <c:pt idx="5">
                  <c:v>67</c:v>
                </c:pt>
                <c:pt idx="6">
                  <c:v>99</c:v>
                </c:pt>
                <c:pt idx="7">
                  <c:v>173</c:v>
                </c:pt>
                <c:pt idx="8">
                  <c:v>340</c:v>
                </c:pt>
                <c:pt idx="9">
                  <c:v>91</c:v>
                </c:pt>
                <c:pt idx="10">
                  <c:v>97</c:v>
                </c:pt>
                <c:pt idx="11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83-40B5-9388-A3C6463EE000}"/>
            </c:ext>
          </c:extLst>
        </c:ser>
        <c:ser>
          <c:idx val="1"/>
          <c:order val="1"/>
          <c:tx>
            <c:strRef>
              <c:f>'2022_1'!$D$14</c:f>
              <c:strCache>
                <c:ptCount val="1"/>
                <c:pt idx="0">
                  <c:v>количество семей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'2022_1'!$B$15:$B$26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 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'2022_1'!$D$15:$D$26</c:f>
              <c:numCache>
                <c:formatCode>General</c:formatCode>
                <c:ptCount val="12"/>
                <c:pt idx="0">
                  <c:v>48</c:v>
                </c:pt>
                <c:pt idx="1">
                  <c:v>70</c:v>
                </c:pt>
                <c:pt idx="2">
                  <c:v>47</c:v>
                </c:pt>
                <c:pt idx="3">
                  <c:v>69</c:v>
                </c:pt>
                <c:pt idx="4">
                  <c:v>98</c:v>
                </c:pt>
                <c:pt idx="5">
                  <c:v>58</c:v>
                </c:pt>
                <c:pt idx="6">
                  <c:v>88</c:v>
                </c:pt>
                <c:pt idx="7">
                  <c:v>150</c:v>
                </c:pt>
                <c:pt idx="8">
                  <c:v>309</c:v>
                </c:pt>
                <c:pt idx="9">
                  <c:v>85</c:v>
                </c:pt>
                <c:pt idx="10">
                  <c:v>87</c:v>
                </c:pt>
                <c:pt idx="11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83-40B5-9388-A3C6463EE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5110127"/>
        <c:axId val="1041108271"/>
      </c:barChart>
      <c:catAx>
        <c:axId val="1095110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41108271"/>
        <c:crosses val="autoZero"/>
        <c:auto val="1"/>
        <c:lblAlgn val="ctr"/>
        <c:lblOffset val="100"/>
        <c:noMultiLvlLbl val="0"/>
      </c:catAx>
      <c:valAx>
        <c:axId val="1041108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95110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u="none" strike="noStrike" baseline="0">
                <a:effectLst/>
              </a:rPr>
              <a:t>Количество обращений по направлениям за 2023 г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'2023'!$A$4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('2023'!$B$2,'2023'!$D$2,'2023'!$F$2,'2023'!$H$2,'2023'!$J$2,'2023'!$L$2,'2023'!$N$2,'2023'!$P$2,'2023'!$R$2,'2023'!$T$2,'2023'!$V$2,'2023'!$X$2)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('2023'!$B$4,'2023'!$D$4,'2023'!$F$4,'2023'!$H$4,'2023'!$J$4,'2023'!$L$4,'2023'!$N$4,'2023'!$P$4,'2023'!$R$4,'2023'!$T$4,'2023'!$V$4,'2023'!$X$4)</c:f>
              <c:numCache>
                <c:formatCode>General</c:formatCode>
                <c:ptCount val="12"/>
                <c:pt idx="0">
                  <c:v>66</c:v>
                </c:pt>
                <c:pt idx="1">
                  <c:v>22</c:v>
                </c:pt>
                <c:pt idx="2">
                  <c:v>29</c:v>
                </c:pt>
                <c:pt idx="3">
                  <c:v>23</c:v>
                </c:pt>
                <c:pt idx="4">
                  <c:v>17</c:v>
                </c:pt>
                <c:pt idx="5">
                  <c:v>13</c:v>
                </c:pt>
                <c:pt idx="6">
                  <c:v>10</c:v>
                </c:pt>
                <c:pt idx="7">
                  <c:v>16</c:v>
                </c:pt>
                <c:pt idx="8">
                  <c:v>11</c:v>
                </c:pt>
                <c:pt idx="9">
                  <c:v>7</c:v>
                </c:pt>
                <c:pt idx="10">
                  <c:v>20</c:v>
                </c:pt>
                <c:pt idx="1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84-4448-8781-1B2A4D2E81F4}"/>
            </c:ext>
          </c:extLst>
        </c:ser>
        <c:ser>
          <c:idx val="1"/>
          <c:order val="1"/>
          <c:tx>
            <c:strRef>
              <c:f>'2023'!$A$5</c:f>
              <c:strCache>
                <c:ptCount val="1"/>
                <c:pt idx="0">
                  <c:v>МСЭ, ТСР, ФСС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('2023'!$B$2,'2023'!$D$2,'2023'!$F$2,'2023'!$H$2,'2023'!$J$2,'2023'!$L$2,'2023'!$N$2,'2023'!$P$2,'2023'!$R$2,'2023'!$T$2,'2023'!$V$2,'2023'!$X$2)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('2023'!$B$5,'2023'!$D$5,'2023'!$F$5,'2023'!$H$5,'2023'!$J$5,'2023'!$L$5,'2023'!$N$5,'2023'!$P$5,'2023'!$R$5,'2023'!$T$5,'2023'!$V$5,'2023'!$X$5)</c:f>
              <c:numCache>
                <c:formatCode>General</c:formatCode>
                <c:ptCount val="12"/>
                <c:pt idx="0">
                  <c:v>36</c:v>
                </c:pt>
                <c:pt idx="1">
                  <c:v>44</c:v>
                </c:pt>
                <c:pt idx="2">
                  <c:v>32</c:v>
                </c:pt>
                <c:pt idx="3">
                  <c:v>33</c:v>
                </c:pt>
                <c:pt idx="4">
                  <c:v>31</c:v>
                </c:pt>
                <c:pt idx="5">
                  <c:v>25</c:v>
                </c:pt>
                <c:pt idx="6">
                  <c:v>48</c:v>
                </c:pt>
                <c:pt idx="7">
                  <c:v>83</c:v>
                </c:pt>
                <c:pt idx="8">
                  <c:v>25</c:v>
                </c:pt>
                <c:pt idx="9">
                  <c:v>44</c:v>
                </c:pt>
                <c:pt idx="10">
                  <c:v>32</c:v>
                </c:pt>
                <c:pt idx="11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84-4448-8781-1B2A4D2E81F4}"/>
            </c:ext>
          </c:extLst>
        </c:ser>
        <c:ser>
          <c:idx val="2"/>
          <c:order val="2"/>
          <c:tx>
            <c:strRef>
              <c:f>'2023'!$A$6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('2023'!$B$2,'2023'!$D$2,'2023'!$F$2,'2023'!$H$2,'2023'!$J$2,'2023'!$L$2,'2023'!$N$2,'2023'!$P$2,'2023'!$R$2,'2023'!$T$2,'2023'!$V$2,'2023'!$X$2)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('2023'!$B$6,'2023'!$D$6,'2023'!$F$6,'2023'!$H$6,'2023'!$J$6,'2023'!$L$6,'2023'!$N$6,'2023'!$P$6,'2023'!$R$6,'2023'!$T$6,'2023'!$V$6,'2023'!$X$6)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8</c:v>
                </c:pt>
                <c:pt idx="9">
                  <c:v>5</c:v>
                </c:pt>
                <c:pt idx="10">
                  <c:v>4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84-4448-8781-1B2A4D2E81F4}"/>
            </c:ext>
          </c:extLst>
        </c:ser>
        <c:ser>
          <c:idx val="3"/>
          <c:order val="3"/>
          <c:tx>
            <c:strRef>
              <c:f>'2023'!$A$7</c:f>
              <c:strCache>
                <c:ptCount val="1"/>
                <c:pt idx="0">
                  <c:v>Юридические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('2023'!$B$2,'2023'!$D$2,'2023'!$F$2,'2023'!$H$2,'2023'!$J$2,'2023'!$L$2,'2023'!$N$2,'2023'!$P$2,'2023'!$R$2,'2023'!$T$2,'2023'!$V$2,'2023'!$X$2)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('2023'!$B$7,'2023'!$D$7,'2023'!$F$7,'2023'!$H$7,'2023'!$J$7,'2023'!$L$7,'2023'!$N$7,'2023'!$P$7,'2023'!$R$7,'2023'!$T$7,'2023'!$V$7,'2023'!$X$7)</c:f>
              <c:numCache>
                <c:formatCode>General</c:formatCode>
                <c:ptCount val="12"/>
                <c:pt idx="0">
                  <c:v>2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10</c:v>
                </c:pt>
                <c:pt idx="10">
                  <c:v>8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84-4448-8781-1B2A4D2E81F4}"/>
            </c:ext>
          </c:extLst>
        </c:ser>
        <c:ser>
          <c:idx val="4"/>
          <c:order val="4"/>
          <c:tx>
            <c:strRef>
              <c:f>'2023'!$A$8</c:f>
              <c:strCache>
                <c:ptCount val="1"/>
                <c:pt idx="0">
                  <c:v>Другие тематики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('2023'!$B$2,'2023'!$D$2,'2023'!$F$2,'2023'!$H$2,'2023'!$J$2,'2023'!$L$2,'2023'!$N$2,'2023'!$P$2,'2023'!$R$2,'2023'!$T$2,'2023'!$V$2,'2023'!$X$2)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('2023'!$B$8,'2023'!$D$8,'2023'!$F$8,'2023'!$H$8,'2023'!$J$8,'2023'!$L$8,'2023'!$N$8,'2023'!$P$8,'2023'!$R$8,'2023'!$T$8,'2023'!$V$8,'2023'!$X$8)</c:f>
              <c:numCache>
                <c:formatCode>General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2</c:v>
                </c:pt>
                <c:pt idx="4">
                  <c:v>6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9</c:v>
                </c:pt>
                <c:pt idx="10">
                  <c:v>3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84-4448-8781-1B2A4D2E8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4766671"/>
        <c:axId val="1044759599"/>
      </c:lineChart>
      <c:catAx>
        <c:axId val="1044766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44759599"/>
        <c:crosses val="autoZero"/>
        <c:auto val="1"/>
        <c:lblAlgn val="ctr"/>
        <c:lblOffset val="100"/>
        <c:noMultiLvlLbl val="0"/>
      </c:catAx>
      <c:valAx>
        <c:axId val="1044759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44766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solidFill>
            <a:schemeClr val="tx1">
              <a:lumMod val="75000"/>
              <a:lumOff val="2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u="none" strike="noStrike" baseline="0">
                <a:effectLst/>
              </a:rPr>
              <a:t>Количество семей,  по направлениям за 2023 г</a:t>
            </a:r>
            <a:endParaRPr lang="ru-RU"/>
          </a:p>
        </c:rich>
      </c:tx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'2023'!$A$4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('2023'!$C$2,'2023'!$E$2,'2023'!$G$2,'2023'!$I$2,'2023'!$K$2,'2023'!$M$2,'2023'!$O$2,'2023'!$Q$2,'2023'!$S$2,'2023'!$U$2,'2023'!$W$2,'2023'!$Y$2)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('2023'!$C$4,'2023'!$E$4,'2023'!$G$4,'2023'!$I$4,'2023'!$K$4,'2023'!$M$4,'2023'!$O$4,'2023'!$Q$4,'2023'!$S$4,'2023'!$U$4,'2023'!$W$4,'2023'!$Y$4)</c:f>
              <c:numCache>
                <c:formatCode>General</c:formatCode>
                <c:ptCount val="12"/>
                <c:pt idx="0">
                  <c:v>58</c:v>
                </c:pt>
                <c:pt idx="1">
                  <c:v>19</c:v>
                </c:pt>
                <c:pt idx="2">
                  <c:v>27</c:v>
                </c:pt>
                <c:pt idx="3">
                  <c:v>21</c:v>
                </c:pt>
                <c:pt idx="4">
                  <c:v>17</c:v>
                </c:pt>
                <c:pt idx="5">
                  <c:v>12</c:v>
                </c:pt>
                <c:pt idx="6">
                  <c:v>10</c:v>
                </c:pt>
                <c:pt idx="7">
                  <c:v>13</c:v>
                </c:pt>
                <c:pt idx="8">
                  <c:v>10</c:v>
                </c:pt>
                <c:pt idx="9">
                  <c:v>7</c:v>
                </c:pt>
                <c:pt idx="10">
                  <c:v>19</c:v>
                </c:pt>
                <c:pt idx="1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26-4552-8497-87199CD61258}"/>
            </c:ext>
          </c:extLst>
        </c:ser>
        <c:ser>
          <c:idx val="1"/>
          <c:order val="1"/>
          <c:tx>
            <c:strRef>
              <c:f>'2023'!$A$5</c:f>
              <c:strCache>
                <c:ptCount val="1"/>
                <c:pt idx="0">
                  <c:v>МСЭ, ТСР, ФСС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('2023'!$C$2,'2023'!$E$2,'2023'!$G$2,'2023'!$I$2,'2023'!$K$2,'2023'!$M$2,'2023'!$O$2,'2023'!$Q$2,'2023'!$S$2,'2023'!$U$2,'2023'!$W$2,'2023'!$Y$2)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('2023'!$C$5,'2023'!$E$5,'2023'!$G$5,'2023'!$I$5,'2023'!$K$5,'2023'!$M$5,'2023'!$O$5,'2023'!$Q$5,'2023'!$S$5,'2023'!$U$5,'2023'!$W$5,'2023'!$Y$5)</c:f>
              <c:numCache>
                <c:formatCode>General</c:formatCode>
                <c:ptCount val="12"/>
                <c:pt idx="0">
                  <c:v>35</c:v>
                </c:pt>
                <c:pt idx="1">
                  <c:v>43</c:v>
                </c:pt>
                <c:pt idx="2">
                  <c:v>32</c:v>
                </c:pt>
                <c:pt idx="3">
                  <c:v>32</c:v>
                </c:pt>
                <c:pt idx="4">
                  <c:v>31</c:v>
                </c:pt>
                <c:pt idx="5">
                  <c:v>25</c:v>
                </c:pt>
                <c:pt idx="6">
                  <c:v>48</c:v>
                </c:pt>
                <c:pt idx="7">
                  <c:v>81</c:v>
                </c:pt>
                <c:pt idx="8">
                  <c:v>22</c:v>
                </c:pt>
                <c:pt idx="9">
                  <c:v>42</c:v>
                </c:pt>
                <c:pt idx="10">
                  <c:v>31</c:v>
                </c:pt>
                <c:pt idx="1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26-4552-8497-87199CD61258}"/>
            </c:ext>
          </c:extLst>
        </c:ser>
        <c:ser>
          <c:idx val="2"/>
          <c:order val="2"/>
          <c:tx>
            <c:strRef>
              <c:f>'2023'!$A$6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('2023'!$C$2,'2023'!$E$2,'2023'!$G$2,'2023'!$I$2,'2023'!$K$2,'2023'!$M$2,'2023'!$O$2,'2023'!$Q$2,'2023'!$S$2,'2023'!$U$2,'2023'!$W$2,'2023'!$Y$2)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('2023'!$C$6,'2023'!$E$6,'2023'!$G$6,'2023'!$I$6,'2023'!$K$6,'2023'!$M$6,'2023'!$O$6,'2023'!$Q$6,'2023'!$S$6,'2023'!$U$6,'2023'!$W$6,'2023'!$Y$6)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8</c:v>
                </c:pt>
                <c:pt idx="9">
                  <c:v>5</c:v>
                </c:pt>
                <c:pt idx="10">
                  <c:v>4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26-4552-8497-87199CD61258}"/>
            </c:ext>
          </c:extLst>
        </c:ser>
        <c:ser>
          <c:idx val="3"/>
          <c:order val="3"/>
          <c:tx>
            <c:strRef>
              <c:f>'2023'!$A$7</c:f>
              <c:strCache>
                <c:ptCount val="1"/>
                <c:pt idx="0">
                  <c:v>Юридические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('2023'!$C$2,'2023'!$E$2,'2023'!$G$2,'2023'!$I$2,'2023'!$K$2,'2023'!$M$2,'2023'!$O$2,'2023'!$Q$2,'2023'!$S$2,'2023'!$U$2,'2023'!$W$2,'2023'!$Y$2)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('2023'!$C$7,'2023'!$E$7,'2023'!$G$7,'2023'!$I$7,'2023'!$K$7,'2023'!$M$7,'2023'!$O$7,'2023'!$Q$7,'2023'!$S$7,'2023'!$U$7,'2023'!$W$7,'2023'!$Y$7)</c:f>
              <c:numCache>
                <c:formatCode>General</c:formatCode>
                <c:ptCount val="12"/>
                <c:pt idx="0">
                  <c:v>2</c:v>
                </c:pt>
                <c:pt idx="1">
                  <c:v>6</c:v>
                </c:pt>
                <c:pt idx="2">
                  <c:v>5</c:v>
                </c:pt>
                <c:pt idx="3">
                  <c:v>7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10</c:v>
                </c:pt>
                <c:pt idx="10">
                  <c:v>7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26-4552-8497-87199CD61258}"/>
            </c:ext>
          </c:extLst>
        </c:ser>
        <c:ser>
          <c:idx val="4"/>
          <c:order val="4"/>
          <c:tx>
            <c:strRef>
              <c:f>'2023'!$A$8</c:f>
              <c:strCache>
                <c:ptCount val="1"/>
                <c:pt idx="0">
                  <c:v>Другие тематики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('2023'!$C$2,'2023'!$E$2,'2023'!$G$2,'2023'!$I$2,'2023'!$K$2,'2023'!$M$2,'2023'!$O$2,'2023'!$Q$2,'2023'!$S$2,'2023'!$U$2,'2023'!$W$2,'2023'!$Y$2)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('2023'!$C$8,'2023'!$E$8,'2023'!$G$8,'2023'!$I$8,'2023'!$K$8,'2023'!$M$8,'2023'!$O$8,'2023'!$Q$8,'2023'!$S$8,'2023'!$U$8,'2023'!$W$8,'2023'!$Y$8)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6</c:v>
                </c:pt>
                <c:pt idx="3">
                  <c:v>2</c:v>
                </c:pt>
                <c:pt idx="4">
                  <c:v>6</c:v>
                </c:pt>
                <c:pt idx="5">
                  <c:v>1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7</c:v>
                </c:pt>
                <c:pt idx="10">
                  <c:v>3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26-4552-8497-87199CD61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4766671"/>
        <c:axId val="1044759599"/>
      </c:lineChart>
      <c:catAx>
        <c:axId val="1044766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44759599"/>
        <c:crosses val="autoZero"/>
        <c:auto val="1"/>
        <c:lblAlgn val="ctr"/>
        <c:lblOffset val="100"/>
        <c:noMultiLvlLbl val="0"/>
      </c:catAx>
      <c:valAx>
        <c:axId val="1044759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44766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solidFill>
            <a:schemeClr val="tx1">
              <a:lumMod val="75000"/>
              <a:lumOff val="2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baseline="0">
                <a:effectLst/>
              </a:rPr>
              <a:t>Количество обращений и обратившихся семей в Семейные приемные ВОРДИ Красноярского края за 2023 г. </a:t>
            </a:r>
            <a:endParaRPr lang="ru-RU" sz="14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ru-RU" sz="1400" b="0" i="0" u="none" strike="noStrike" baseline="0"/>
              <a:t> </a:t>
            </a:r>
            <a:endParaRPr lang="ru-RU"/>
          </a:p>
        </c:rich>
      </c:tx>
      <c:layout>
        <c:manualLayout>
          <c:xMode val="edge"/>
          <c:yMode val="edge"/>
          <c:x val="0.14149000605693518"/>
          <c:y val="2.28898391943737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'2023_1 '!$C$14</c:f>
              <c:strCache>
                <c:ptCount val="1"/>
                <c:pt idx="0">
                  <c:v>количество обращений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'2023_1 '!$B$15:$B$26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 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'2023_1 '!$C$15:$C$26</c:f>
              <c:numCache>
                <c:formatCode>General</c:formatCode>
                <c:ptCount val="12"/>
                <c:pt idx="0">
                  <c:v>106</c:v>
                </c:pt>
                <c:pt idx="1">
                  <c:v>79</c:v>
                </c:pt>
                <c:pt idx="2">
                  <c:v>86</c:v>
                </c:pt>
                <c:pt idx="3">
                  <c:v>69</c:v>
                </c:pt>
                <c:pt idx="4">
                  <c:v>60</c:v>
                </c:pt>
                <c:pt idx="5">
                  <c:v>46</c:v>
                </c:pt>
                <c:pt idx="6">
                  <c:v>67</c:v>
                </c:pt>
                <c:pt idx="7">
                  <c:v>107</c:v>
                </c:pt>
                <c:pt idx="8">
                  <c:v>50</c:v>
                </c:pt>
                <c:pt idx="9">
                  <c:v>75</c:v>
                </c:pt>
                <c:pt idx="10">
                  <c:v>67</c:v>
                </c:pt>
                <c:pt idx="1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0-44B8-BE05-91F03E01EEC9}"/>
            </c:ext>
          </c:extLst>
        </c:ser>
        <c:ser>
          <c:idx val="1"/>
          <c:order val="1"/>
          <c:tx>
            <c:strRef>
              <c:f>'2023_1 '!$D$14</c:f>
              <c:strCache>
                <c:ptCount val="1"/>
                <c:pt idx="0">
                  <c:v>количество семей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'2023_1 '!$B$15:$B$26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 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'2023_1 '!$D$15:$D$26</c:f>
              <c:numCache>
                <c:formatCode>General</c:formatCode>
                <c:ptCount val="12"/>
                <c:pt idx="0">
                  <c:v>97</c:v>
                </c:pt>
                <c:pt idx="1">
                  <c:v>73</c:v>
                </c:pt>
                <c:pt idx="2">
                  <c:v>78</c:v>
                </c:pt>
                <c:pt idx="3">
                  <c:v>66</c:v>
                </c:pt>
                <c:pt idx="4">
                  <c:v>60</c:v>
                </c:pt>
                <c:pt idx="5">
                  <c:v>43</c:v>
                </c:pt>
                <c:pt idx="6">
                  <c:v>67</c:v>
                </c:pt>
                <c:pt idx="7">
                  <c:v>99</c:v>
                </c:pt>
                <c:pt idx="8">
                  <c:v>46</c:v>
                </c:pt>
                <c:pt idx="9">
                  <c:v>71</c:v>
                </c:pt>
                <c:pt idx="10">
                  <c:v>64</c:v>
                </c:pt>
                <c:pt idx="1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C0-44B8-BE05-91F03E01E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5110127"/>
        <c:axId val="1041108271"/>
      </c:barChart>
      <c:catAx>
        <c:axId val="1095110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41108271"/>
        <c:crosses val="autoZero"/>
        <c:auto val="1"/>
        <c:lblAlgn val="ctr"/>
        <c:lblOffset val="100"/>
        <c:noMultiLvlLbl val="0"/>
      </c:catAx>
      <c:valAx>
        <c:axId val="1041108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95110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10</xdr:row>
      <xdr:rowOff>128586</xdr:rowOff>
    </xdr:from>
    <xdr:to>
      <xdr:col>11</xdr:col>
      <xdr:colOff>114300</xdr:colOff>
      <xdr:row>33</xdr:row>
      <xdr:rowOff>152400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CD684497-571D-9F5B-0C69-2339ABA662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47624</xdr:colOff>
      <xdr:row>13</xdr:row>
      <xdr:rowOff>176212</xdr:rowOff>
    </xdr:from>
    <xdr:to>
      <xdr:col>24</xdr:col>
      <xdr:colOff>504825</xdr:colOff>
      <xdr:row>33</xdr:row>
      <xdr:rowOff>114300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578F21C4-2D00-E065-72EE-D74A88E46D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13</xdr:row>
      <xdr:rowOff>4762</xdr:rowOff>
    </xdr:from>
    <xdr:to>
      <xdr:col>14</xdr:col>
      <xdr:colOff>514349</xdr:colOff>
      <xdr:row>27</xdr:row>
      <xdr:rowOff>80962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A7FE99EB-E73D-AF19-6ED5-468759A9A0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138111</xdr:colOff>
      <xdr:row>11</xdr:row>
      <xdr:rowOff>23812</xdr:rowOff>
    </xdr:from>
    <xdr:to>
      <xdr:col>9</xdr:col>
      <xdr:colOff>657225</xdr:colOff>
      <xdr:row>34</xdr:row>
      <xdr:rowOff>28575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93E2D94-69B8-48A6-AF44-8CDD81345E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11</xdr:row>
      <xdr:rowOff>0</xdr:rowOff>
    </xdr:from>
    <xdr:to>
      <xdr:col>21</xdr:col>
      <xdr:colOff>340520</xdr:colOff>
      <xdr:row>34</xdr:row>
      <xdr:rowOff>4763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15C2E2FA-EC98-4ADC-A7D3-D647A15E6D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13</xdr:row>
      <xdr:rowOff>4762</xdr:rowOff>
    </xdr:from>
    <xdr:to>
      <xdr:col>13</xdr:col>
      <xdr:colOff>514349</xdr:colOff>
      <xdr:row>26</xdr:row>
      <xdr:rowOff>104775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799C39E3-F23C-5837-8743-E6A4047FFB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138111</xdr:colOff>
      <xdr:row>11</xdr:row>
      <xdr:rowOff>23812</xdr:rowOff>
    </xdr:from>
    <xdr:to>
      <xdr:col>9</xdr:col>
      <xdr:colOff>657225</xdr:colOff>
      <xdr:row>34</xdr:row>
      <xdr:rowOff>28575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52EA29FE-BB05-4E13-886F-5328F12F18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11</xdr:row>
      <xdr:rowOff>0</xdr:rowOff>
    </xdr:from>
    <xdr:to>
      <xdr:col>22</xdr:col>
      <xdr:colOff>423864</xdr:colOff>
      <xdr:row>34</xdr:row>
      <xdr:rowOff>4763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19C12FF2-A276-4406-A2DB-993F2D8813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13</xdr:row>
      <xdr:rowOff>4762</xdr:rowOff>
    </xdr:from>
    <xdr:to>
      <xdr:col>13</xdr:col>
      <xdr:colOff>514349</xdr:colOff>
      <xdr:row>26</xdr:row>
      <xdr:rowOff>104775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7C033C6A-F3DF-40FC-8B3B-BBF5182C67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138111</xdr:colOff>
      <xdr:row>11</xdr:row>
      <xdr:rowOff>23812</xdr:rowOff>
    </xdr:from>
    <xdr:to>
      <xdr:col>9</xdr:col>
      <xdr:colOff>657225</xdr:colOff>
      <xdr:row>34</xdr:row>
      <xdr:rowOff>28575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42D5402D-7D8E-479C-9787-D5EBDDFC9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11</xdr:row>
      <xdr:rowOff>0</xdr:rowOff>
    </xdr:from>
    <xdr:to>
      <xdr:col>22</xdr:col>
      <xdr:colOff>423864</xdr:colOff>
      <xdr:row>34</xdr:row>
      <xdr:rowOff>4763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7108634D-D1A7-4186-9FCF-9FB2F07DD4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13</xdr:row>
      <xdr:rowOff>4762</xdr:rowOff>
    </xdr:from>
    <xdr:to>
      <xdr:col>13</xdr:col>
      <xdr:colOff>514349</xdr:colOff>
      <xdr:row>26</xdr:row>
      <xdr:rowOff>104775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6C2EDB3B-655A-43FC-9171-8A10D90976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6A1FF-C217-466E-8F36-6632D6CCC0BE}">
  <dimension ref="A1:P10"/>
  <sheetViews>
    <sheetView topLeftCell="A13" zoomScale="90" zoomScaleNormal="90" workbookViewId="0">
      <selection activeCell="A5" sqref="A5:XFD5"/>
    </sheetView>
  </sheetViews>
  <sheetFormatPr defaultRowHeight="15" x14ac:dyDescent="0.25"/>
  <cols>
    <col min="2" max="2" width="17" customWidth="1"/>
    <col min="3" max="3" width="12.28515625" customWidth="1"/>
    <col min="4" max="4" width="11.85546875" customWidth="1"/>
    <col min="5" max="5" width="12.85546875" customWidth="1"/>
    <col min="6" max="6" width="12.140625" customWidth="1"/>
    <col min="7" max="7" width="13.5703125" customWidth="1"/>
    <col min="8" max="8" width="9.42578125" customWidth="1"/>
    <col min="9" max="9" width="13.28515625" customWidth="1"/>
    <col min="11" max="11" width="11.5703125" customWidth="1"/>
    <col min="13" max="13" width="11.5703125" customWidth="1"/>
    <col min="15" max="15" width="10.7109375" customWidth="1"/>
  </cols>
  <sheetData>
    <row r="1" spans="1:16" ht="24" thickBot="1" x14ac:dyDescent="0.4">
      <c r="A1" s="4"/>
      <c r="E1" s="3"/>
    </row>
    <row r="2" spans="1:16" x14ac:dyDescent="0.25">
      <c r="B2" s="6"/>
      <c r="C2" s="25" t="s">
        <v>0</v>
      </c>
      <c r="D2" s="26"/>
      <c r="E2" s="25" t="s">
        <v>3</v>
      </c>
      <c r="F2" s="26"/>
      <c r="G2" s="35" t="s">
        <v>4</v>
      </c>
      <c r="H2" s="36"/>
      <c r="I2" s="35" t="s">
        <v>5</v>
      </c>
      <c r="J2" s="36"/>
      <c r="K2" s="35" t="s">
        <v>6</v>
      </c>
      <c r="L2" s="36"/>
      <c r="M2" s="37" t="s">
        <v>7</v>
      </c>
      <c r="N2" s="39"/>
      <c r="O2" s="98" t="s">
        <v>29</v>
      </c>
      <c r="P2" s="99"/>
    </row>
    <row r="3" spans="1:16" x14ac:dyDescent="0.25">
      <c r="B3" s="6"/>
      <c r="C3" s="27" t="s">
        <v>1</v>
      </c>
      <c r="D3" s="28" t="s">
        <v>2</v>
      </c>
      <c r="E3" s="33" t="s">
        <v>1</v>
      </c>
      <c r="F3" s="34" t="s">
        <v>2</v>
      </c>
      <c r="G3" s="33" t="s">
        <v>1</v>
      </c>
      <c r="H3" s="34" t="s">
        <v>2</v>
      </c>
      <c r="I3" s="33" t="s">
        <v>1</v>
      </c>
      <c r="J3" s="34" t="s">
        <v>2</v>
      </c>
      <c r="K3" s="33" t="s">
        <v>1</v>
      </c>
      <c r="L3" s="34" t="s">
        <v>2</v>
      </c>
      <c r="M3" s="33" t="s">
        <v>1</v>
      </c>
      <c r="N3" s="40" t="s">
        <v>2</v>
      </c>
      <c r="O3" s="29" t="s">
        <v>1</v>
      </c>
      <c r="P3" s="30" t="s">
        <v>2</v>
      </c>
    </row>
    <row r="4" spans="1:16" x14ac:dyDescent="0.25">
      <c r="B4" s="23" t="s">
        <v>14</v>
      </c>
      <c r="C4" s="29">
        <v>61</v>
      </c>
      <c r="D4" s="30">
        <v>61</v>
      </c>
      <c r="E4" s="29">
        <v>111</v>
      </c>
      <c r="F4" s="30">
        <v>105</v>
      </c>
      <c r="G4" s="29">
        <v>24</v>
      </c>
      <c r="H4" s="30">
        <v>22</v>
      </c>
      <c r="I4" s="29">
        <v>9</v>
      </c>
      <c r="J4" s="30">
        <v>9</v>
      </c>
      <c r="K4" s="29">
        <v>11</v>
      </c>
      <c r="L4" s="30">
        <v>10</v>
      </c>
      <c r="M4" s="29">
        <v>27</v>
      </c>
      <c r="N4" s="41">
        <v>25</v>
      </c>
      <c r="O4" s="43">
        <f>SUM(C4,E4,G4,I4,K4,M4)</f>
        <v>243</v>
      </c>
      <c r="P4" s="44">
        <f>SUM(D4,F4,H4,J4,L4,N4)</f>
        <v>232</v>
      </c>
    </row>
    <row r="5" spans="1:16" x14ac:dyDescent="0.25">
      <c r="B5" s="23" t="s">
        <v>15</v>
      </c>
      <c r="C5" s="29">
        <v>6</v>
      </c>
      <c r="D5" s="30">
        <v>6</v>
      </c>
      <c r="E5" s="29">
        <v>16</v>
      </c>
      <c r="F5" s="30">
        <v>16</v>
      </c>
      <c r="G5" s="29">
        <v>7</v>
      </c>
      <c r="H5" s="30">
        <v>7</v>
      </c>
      <c r="I5" s="29">
        <v>12</v>
      </c>
      <c r="J5" s="30">
        <v>12</v>
      </c>
      <c r="K5" s="29">
        <v>8</v>
      </c>
      <c r="L5" s="30">
        <v>7</v>
      </c>
      <c r="M5" s="29">
        <v>8</v>
      </c>
      <c r="N5" s="41">
        <v>8</v>
      </c>
      <c r="O5" s="43">
        <f t="shared" ref="O5:O8" si="0">SUM(C5,E5,G5,I5,K5,M5)</f>
        <v>57</v>
      </c>
      <c r="P5" s="44">
        <f t="shared" ref="P5:P8" si="1">SUM(D5,F5,H5,J5,L5,N5)</f>
        <v>56</v>
      </c>
    </row>
    <row r="6" spans="1:16" x14ac:dyDescent="0.25">
      <c r="B6" s="23" t="s">
        <v>16</v>
      </c>
      <c r="C6" s="29">
        <v>1</v>
      </c>
      <c r="D6" s="30">
        <v>1</v>
      </c>
      <c r="E6" s="29">
        <v>9</v>
      </c>
      <c r="F6" s="30">
        <v>8</v>
      </c>
      <c r="G6" s="29">
        <v>9</v>
      </c>
      <c r="H6" s="30">
        <v>9</v>
      </c>
      <c r="I6" s="29">
        <v>4</v>
      </c>
      <c r="J6" s="30">
        <v>4</v>
      </c>
      <c r="K6" s="29">
        <v>3</v>
      </c>
      <c r="L6" s="30">
        <v>3</v>
      </c>
      <c r="M6" s="29">
        <v>1</v>
      </c>
      <c r="N6" s="41">
        <v>1</v>
      </c>
      <c r="O6" s="43">
        <f t="shared" si="0"/>
        <v>27</v>
      </c>
      <c r="P6" s="44">
        <f t="shared" si="1"/>
        <v>26</v>
      </c>
    </row>
    <row r="7" spans="1:16" x14ac:dyDescent="0.25">
      <c r="B7" s="23" t="s">
        <v>17</v>
      </c>
      <c r="C7" s="29">
        <v>3</v>
      </c>
      <c r="D7" s="30">
        <v>3</v>
      </c>
      <c r="E7" s="29">
        <v>6</v>
      </c>
      <c r="F7" s="30">
        <v>6</v>
      </c>
      <c r="G7" s="29">
        <v>4</v>
      </c>
      <c r="H7" s="30">
        <v>3</v>
      </c>
      <c r="I7" s="29">
        <v>3</v>
      </c>
      <c r="J7" s="30">
        <v>3</v>
      </c>
      <c r="K7" s="29">
        <v>5</v>
      </c>
      <c r="L7" s="30">
        <v>4</v>
      </c>
      <c r="M7" s="29">
        <v>2</v>
      </c>
      <c r="N7" s="41">
        <v>2</v>
      </c>
      <c r="O7" s="43">
        <f t="shared" si="0"/>
        <v>23</v>
      </c>
      <c r="P7" s="44">
        <f t="shared" si="1"/>
        <v>21</v>
      </c>
    </row>
    <row r="8" spans="1:16" ht="15.75" thickBot="1" x14ac:dyDescent="0.3">
      <c r="B8" s="23" t="s">
        <v>18</v>
      </c>
      <c r="C8" s="31">
        <v>2</v>
      </c>
      <c r="D8" s="32">
        <v>2</v>
      </c>
      <c r="E8" s="31">
        <v>5</v>
      </c>
      <c r="F8" s="32">
        <v>2</v>
      </c>
      <c r="G8" s="31">
        <v>2</v>
      </c>
      <c r="H8" s="32">
        <v>1</v>
      </c>
      <c r="I8" s="31">
        <v>6</v>
      </c>
      <c r="J8" s="32">
        <v>4</v>
      </c>
      <c r="K8" s="31">
        <v>5</v>
      </c>
      <c r="L8" s="32">
        <v>3</v>
      </c>
      <c r="M8" s="31">
        <v>2</v>
      </c>
      <c r="N8" s="42">
        <v>2</v>
      </c>
      <c r="O8" s="48">
        <f t="shared" si="0"/>
        <v>22</v>
      </c>
      <c r="P8" s="49">
        <f t="shared" si="1"/>
        <v>14</v>
      </c>
    </row>
    <row r="9" spans="1:16" ht="15.75" thickBot="1" x14ac:dyDescent="0.3">
      <c r="B9" s="6"/>
      <c r="C9" s="6"/>
      <c r="D9" s="6"/>
      <c r="E9" s="8"/>
      <c r="F9" s="8"/>
      <c r="G9" s="6"/>
      <c r="H9" s="6"/>
      <c r="I9" s="6"/>
      <c r="J9" s="6"/>
      <c r="K9" s="6"/>
      <c r="L9" s="6"/>
      <c r="M9" s="6"/>
      <c r="N9" s="6"/>
    </row>
    <row r="10" spans="1:16" ht="15.75" thickBot="1" x14ac:dyDescent="0.3">
      <c r="B10" s="45" t="s">
        <v>19</v>
      </c>
      <c r="C10" s="46">
        <v>73</v>
      </c>
      <c r="D10" s="47">
        <v>73</v>
      </c>
      <c r="E10" s="24">
        <v>147</v>
      </c>
      <c r="F10" s="41">
        <v>137</v>
      </c>
      <c r="G10" s="46">
        <v>46</v>
      </c>
      <c r="H10" s="47">
        <v>42</v>
      </c>
      <c r="I10" s="46">
        <v>34</v>
      </c>
      <c r="J10" s="47">
        <v>32</v>
      </c>
      <c r="K10" s="46">
        <v>32</v>
      </c>
      <c r="L10" s="47">
        <v>27</v>
      </c>
      <c r="M10" s="46">
        <v>40</v>
      </c>
      <c r="N10" s="50">
        <v>38</v>
      </c>
      <c r="O10" s="51">
        <f>SUM(C10,E10,G10,I10,K10,M10)</f>
        <v>372</v>
      </c>
      <c r="P10" s="52">
        <f>SUM(D10,F10,H10,J10,L10,N10)</f>
        <v>349</v>
      </c>
    </row>
  </sheetData>
  <mergeCells count="1">
    <mergeCell ref="O2:P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E141F-4132-4DDC-BBE1-5A0371A18A1A}">
  <dimension ref="A1:AA28"/>
  <sheetViews>
    <sheetView topLeftCell="A13" workbookViewId="0">
      <selection activeCell="M29" sqref="M29"/>
    </sheetView>
  </sheetViews>
  <sheetFormatPr defaultRowHeight="15" x14ac:dyDescent="0.25"/>
  <cols>
    <col min="1" max="1" width="17.5703125" customWidth="1"/>
    <col min="2" max="2" width="12" customWidth="1"/>
    <col min="3" max="3" width="12.5703125" customWidth="1"/>
    <col min="4" max="4" width="12.42578125" customWidth="1"/>
    <col min="5" max="5" width="11.140625" customWidth="1"/>
    <col min="6" max="6" width="12.28515625" customWidth="1"/>
    <col min="7" max="7" width="12" customWidth="1"/>
    <col min="8" max="8" width="11.7109375" customWidth="1"/>
    <col min="9" max="9" width="10.5703125" customWidth="1"/>
    <col min="10" max="10" width="12.42578125" customWidth="1"/>
    <col min="11" max="11" width="9.85546875" customWidth="1"/>
    <col min="12" max="12" width="10.42578125" customWidth="1"/>
    <col min="13" max="13" width="11.5703125" customWidth="1"/>
    <col min="26" max="26" width="10.42578125" customWidth="1"/>
  </cols>
  <sheetData>
    <row r="1" spans="1:27" ht="15.75" thickBot="1" x14ac:dyDescent="0.3"/>
    <row r="2" spans="1:27" x14ac:dyDescent="0.25">
      <c r="A2" s="6"/>
      <c r="B2" s="20" t="s">
        <v>23</v>
      </c>
      <c r="C2" s="20"/>
      <c r="D2" s="20" t="s">
        <v>24</v>
      </c>
      <c r="E2" s="20"/>
      <c r="F2" s="21" t="s">
        <v>25</v>
      </c>
      <c r="G2" s="21"/>
      <c r="H2" s="21" t="s">
        <v>26</v>
      </c>
      <c r="I2" s="22"/>
      <c r="J2" s="21" t="s">
        <v>27</v>
      </c>
      <c r="K2" s="54"/>
      <c r="L2" s="25" t="s">
        <v>28</v>
      </c>
      <c r="M2" s="26"/>
      <c r="N2" s="25" t="s">
        <v>0</v>
      </c>
      <c r="O2" s="26"/>
      <c r="P2" s="25" t="s">
        <v>3</v>
      </c>
      <c r="Q2" s="26"/>
      <c r="R2" s="35" t="s">
        <v>4</v>
      </c>
      <c r="S2" s="36"/>
      <c r="T2" s="35" t="s">
        <v>5</v>
      </c>
      <c r="U2" s="36"/>
      <c r="V2" s="35" t="s">
        <v>6</v>
      </c>
      <c r="W2" s="36"/>
      <c r="X2" s="37" t="s">
        <v>7</v>
      </c>
      <c r="Y2" s="38"/>
      <c r="Z2" s="98" t="s">
        <v>29</v>
      </c>
      <c r="AA2" s="99"/>
    </row>
    <row r="3" spans="1:27" x14ac:dyDescent="0.25">
      <c r="A3" s="6"/>
      <c r="B3" s="13" t="s">
        <v>1</v>
      </c>
      <c r="C3" s="11" t="s">
        <v>2</v>
      </c>
      <c r="D3" s="13" t="s">
        <v>1</v>
      </c>
      <c r="E3" s="11" t="s">
        <v>2</v>
      </c>
      <c r="F3" s="13" t="s">
        <v>1</v>
      </c>
      <c r="G3" s="11" t="s">
        <v>2</v>
      </c>
      <c r="H3" s="13" t="s">
        <v>1</v>
      </c>
      <c r="I3" s="11" t="s">
        <v>2</v>
      </c>
      <c r="J3" s="13" t="s">
        <v>1</v>
      </c>
      <c r="K3" s="53" t="s">
        <v>2</v>
      </c>
      <c r="L3" s="27" t="s">
        <v>1</v>
      </c>
      <c r="M3" s="28" t="s">
        <v>2</v>
      </c>
      <c r="N3" s="27" t="s">
        <v>1</v>
      </c>
      <c r="O3" s="28" t="s">
        <v>2</v>
      </c>
      <c r="P3" s="33" t="s">
        <v>1</v>
      </c>
      <c r="Q3" s="34" t="s">
        <v>2</v>
      </c>
      <c r="R3" s="33" t="s">
        <v>1</v>
      </c>
      <c r="S3" s="34" t="s">
        <v>2</v>
      </c>
      <c r="T3" s="33" t="s">
        <v>1</v>
      </c>
      <c r="U3" s="34" t="s">
        <v>2</v>
      </c>
      <c r="V3" s="33" t="s">
        <v>1</v>
      </c>
      <c r="W3" s="34" t="s">
        <v>2</v>
      </c>
      <c r="X3" s="33" t="s">
        <v>1</v>
      </c>
      <c r="Y3" s="34" t="s">
        <v>2</v>
      </c>
      <c r="Z3" s="29" t="s">
        <v>1</v>
      </c>
      <c r="AA3" s="30" t="s">
        <v>2</v>
      </c>
    </row>
    <row r="4" spans="1:27" x14ac:dyDescent="0.25">
      <c r="A4" s="7" t="s">
        <v>14</v>
      </c>
      <c r="B4" s="9">
        <v>24</v>
      </c>
      <c r="C4" s="10">
        <v>22</v>
      </c>
      <c r="D4" s="9">
        <v>38</v>
      </c>
      <c r="E4" s="10">
        <v>32</v>
      </c>
      <c r="F4" s="9">
        <v>16</v>
      </c>
      <c r="G4" s="10">
        <v>15</v>
      </c>
      <c r="H4" s="9">
        <v>20</v>
      </c>
      <c r="I4" s="10">
        <v>20</v>
      </c>
      <c r="J4" s="9">
        <v>33</v>
      </c>
      <c r="K4" s="41">
        <v>31</v>
      </c>
      <c r="L4" s="29">
        <v>14</v>
      </c>
      <c r="M4" s="30">
        <v>10</v>
      </c>
      <c r="N4" s="29">
        <v>14</v>
      </c>
      <c r="O4" s="30">
        <v>14</v>
      </c>
      <c r="P4" s="29">
        <v>79</v>
      </c>
      <c r="Q4" s="30">
        <v>69</v>
      </c>
      <c r="R4" s="29">
        <v>65</v>
      </c>
      <c r="S4" s="30">
        <v>57</v>
      </c>
      <c r="T4" s="29">
        <v>44</v>
      </c>
      <c r="U4" s="30">
        <v>40</v>
      </c>
      <c r="V4" s="29">
        <v>15</v>
      </c>
      <c r="W4" s="30">
        <v>15</v>
      </c>
      <c r="X4" s="29">
        <v>51</v>
      </c>
      <c r="Y4" s="30">
        <v>41</v>
      </c>
      <c r="Z4" s="55">
        <f>SUM(B4,D4,F4,H4,J4,L4,N4,P4,R4,T4,V4,X4)</f>
        <v>413</v>
      </c>
      <c r="AA4" s="56">
        <f>SUM(C4,E4,G4,I4,K4,M4,O4,Q4,S4,U4,W4,Y4)</f>
        <v>366</v>
      </c>
    </row>
    <row r="5" spans="1:27" x14ac:dyDescent="0.25">
      <c r="A5" s="7" t="s">
        <v>15</v>
      </c>
      <c r="B5" s="9">
        <v>20</v>
      </c>
      <c r="C5" s="10">
        <v>18</v>
      </c>
      <c r="D5" s="9">
        <v>18</v>
      </c>
      <c r="E5" s="10">
        <v>18</v>
      </c>
      <c r="F5" s="9">
        <v>24</v>
      </c>
      <c r="G5" s="10">
        <v>24</v>
      </c>
      <c r="H5" s="9">
        <v>35</v>
      </c>
      <c r="I5" s="10">
        <v>29</v>
      </c>
      <c r="J5" s="9">
        <v>51</v>
      </c>
      <c r="K5" s="41">
        <v>48</v>
      </c>
      <c r="L5" s="29">
        <v>35</v>
      </c>
      <c r="M5" s="30">
        <v>31</v>
      </c>
      <c r="N5" s="29">
        <v>77</v>
      </c>
      <c r="O5" s="30">
        <v>69</v>
      </c>
      <c r="P5" s="29">
        <v>71</v>
      </c>
      <c r="Q5" s="30">
        <v>64</v>
      </c>
      <c r="R5" s="29">
        <v>52</v>
      </c>
      <c r="S5" s="30">
        <v>51</v>
      </c>
      <c r="T5" s="29">
        <v>32</v>
      </c>
      <c r="U5" s="30">
        <v>31</v>
      </c>
      <c r="V5" s="29">
        <v>70</v>
      </c>
      <c r="W5" s="30">
        <v>61</v>
      </c>
      <c r="X5" s="29">
        <v>24</v>
      </c>
      <c r="Y5" s="30">
        <v>23</v>
      </c>
      <c r="Z5" s="55">
        <f t="shared" ref="Z5:AA8" si="0">SUM(B5,D5,F5,H5,J5,L5,N5,P5,R5,T5,V5,X5)</f>
        <v>509</v>
      </c>
      <c r="AA5" s="56">
        <f t="shared" si="0"/>
        <v>467</v>
      </c>
    </row>
    <row r="6" spans="1:27" x14ac:dyDescent="0.25">
      <c r="A6" s="7" t="s">
        <v>16</v>
      </c>
      <c r="B6" s="9">
        <v>4</v>
      </c>
      <c r="C6" s="10">
        <v>3</v>
      </c>
      <c r="D6" s="9">
        <v>5</v>
      </c>
      <c r="E6" s="10">
        <v>5</v>
      </c>
      <c r="F6" s="9">
        <v>4</v>
      </c>
      <c r="G6" s="10">
        <v>4</v>
      </c>
      <c r="H6" s="9">
        <v>17</v>
      </c>
      <c r="I6" s="10">
        <v>17</v>
      </c>
      <c r="J6" s="9">
        <v>5</v>
      </c>
      <c r="K6" s="41">
        <v>4</v>
      </c>
      <c r="L6" s="29">
        <v>9</v>
      </c>
      <c r="M6" s="30">
        <v>9</v>
      </c>
      <c r="N6" s="29">
        <v>2</v>
      </c>
      <c r="O6" s="30">
        <v>2</v>
      </c>
      <c r="P6" s="29">
        <v>12</v>
      </c>
      <c r="Q6" s="30">
        <v>11</v>
      </c>
      <c r="R6" s="29">
        <v>12</v>
      </c>
      <c r="S6" s="30">
        <v>12</v>
      </c>
      <c r="T6" s="29">
        <v>5</v>
      </c>
      <c r="U6" s="30">
        <v>5</v>
      </c>
      <c r="V6" s="29">
        <v>10</v>
      </c>
      <c r="W6" s="30">
        <v>9</v>
      </c>
      <c r="X6" s="29">
        <v>3</v>
      </c>
      <c r="Y6" s="30">
        <v>3</v>
      </c>
      <c r="Z6" s="55">
        <f t="shared" si="0"/>
        <v>88</v>
      </c>
      <c r="AA6" s="56">
        <f t="shared" si="0"/>
        <v>84</v>
      </c>
    </row>
    <row r="7" spans="1:27" x14ac:dyDescent="0.25">
      <c r="A7" s="7" t="s">
        <v>17</v>
      </c>
      <c r="B7" s="9">
        <v>3</v>
      </c>
      <c r="C7" s="10">
        <v>3</v>
      </c>
      <c r="D7" s="9">
        <v>5</v>
      </c>
      <c r="E7" s="10">
        <v>5</v>
      </c>
      <c r="F7" s="9">
        <v>3</v>
      </c>
      <c r="G7" s="10">
        <v>3</v>
      </c>
      <c r="H7" s="9">
        <v>2</v>
      </c>
      <c r="I7" s="10">
        <v>2</v>
      </c>
      <c r="J7" s="9">
        <v>3</v>
      </c>
      <c r="K7" s="41">
        <v>3</v>
      </c>
      <c r="L7" s="29">
        <v>3</v>
      </c>
      <c r="M7" s="30">
        <v>3</v>
      </c>
      <c r="N7" s="29">
        <v>1</v>
      </c>
      <c r="O7" s="30">
        <v>1</v>
      </c>
      <c r="P7" s="29">
        <v>1</v>
      </c>
      <c r="Q7" s="30">
        <v>1</v>
      </c>
      <c r="R7" s="29">
        <v>188</v>
      </c>
      <c r="S7" s="30">
        <v>177</v>
      </c>
      <c r="T7" s="29">
        <v>8</v>
      </c>
      <c r="U7" s="30">
        <v>8</v>
      </c>
      <c r="V7" s="29">
        <v>2</v>
      </c>
      <c r="W7" s="30">
        <v>2</v>
      </c>
      <c r="X7" s="29">
        <v>1</v>
      </c>
      <c r="Y7" s="30">
        <v>1</v>
      </c>
      <c r="Z7" s="55">
        <f t="shared" si="0"/>
        <v>220</v>
      </c>
      <c r="AA7" s="56">
        <f t="shared" si="0"/>
        <v>209</v>
      </c>
    </row>
    <row r="8" spans="1:27" ht="15.75" thickBot="1" x14ac:dyDescent="0.3">
      <c r="A8" s="7" t="s">
        <v>18</v>
      </c>
      <c r="B8" s="9">
        <v>3</v>
      </c>
      <c r="C8" s="10">
        <v>2</v>
      </c>
      <c r="D8" s="9">
        <v>14</v>
      </c>
      <c r="E8" s="10">
        <v>10</v>
      </c>
      <c r="F8" s="9">
        <v>1</v>
      </c>
      <c r="G8" s="10">
        <v>1</v>
      </c>
      <c r="H8" s="9">
        <v>2</v>
      </c>
      <c r="I8" s="10">
        <v>1</v>
      </c>
      <c r="J8" s="9">
        <v>13</v>
      </c>
      <c r="K8" s="41">
        <v>12</v>
      </c>
      <c r="L8" s="31">
        <v>6</v>
      </c>
      <c r="M8" s="32">
        <v>5</v>
      </c>
      <c r="N8" s="31">
        <v>5</v>
      </c>
      <c r="O8" s="32">
        <v>2</v>
      </c>
      <c r="P8" s="31">
        <v>10</v>
      </c>
      <c r="Q8" s="32">
        <v>5</v>
      </c>
      <c r="R8" s="31">
        <v>23</v>
      </c>
      <c r="S8" s="32">
        <v>12</v>
      </c>
      <c r="T8" s="31">
        <v>2</v>
      </c>
      <c r="U8" s="32">
        <v>1</v>
      </c>
      <c r="V8" s="31">
        <v>0</v>
      </c>
      <c r="W8" s="32">
        <v>0</v>
      </c>
      <c r="X8" s="31">
        <v>2</v>
      </c>
      <c r="Y8" s="32">
        <v>1</v>
      </c>
      <c r="Z8" s="55">
        <f t="shared" si="0"/>
        <v>81</v>
      </c>
      <c r="AA8" s="56">
        <f t="shared" si="0"/>
        <v>52</v>
      </c>
    </row>
    <row r="9" spans="1:27" ht="15.75" thickBot="1" x14ac:dyDescent="0.3">
      <c r="A9" s="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6"/>
      <c r="O9" s="6"/>
      <c r="P9" s="8"/>
      <c r="Q9" s="8"/>
      <c r="R9" s="6"/>
      <c r="S9" s="6"/>
      <c r="T9" s="6"/>
      <c r="U9" s="6"/>
      <c r="V9" s="6"/>
      <c r="W9" s="6"/>
      <c r="X9" s="6"/>
      <c r="Y9" s="6"/>
    </row>
    <row r="10" spans="1:27" ht="15.75" thickBot="1" x14ac:dyDescent="0.3">
      <c r="A10" s="15" t="s">
        <v>19</v>
      </c>
      <c r="B10" s="9">
        <f>SUM(B4:B9)</f>
        <v>54</v>
      </c>
      <c r="C10" s="10">
        <f t="shared" ref="C10:M10" si="1">SUM(C4:C9)</f>
        <v>48</v>
      </c>
      <c r="D10" s="9">
        <f t="shared" si="1"/>
        <v>80</v>
      </c>
      <c r="E10" s="10">
        <f t="shared" si="1"/>
        <v>70</v>
      </c>
      <c r="F10" s="9">
        <f t="shared" si="1"/>
        <v>48</v>
      </c>
      <c r="G10" s="10">
        <f t="shared" si="1"/>
        <v>47</v>
      </c>
      <c r="H10" s="9">
        <f t="shared" si="1"/>
        <v>76</v>
      </c>
      <c r="I10" s="10">
        <f t="shared" si="1"/>
        <v>69</v>
      </c>
      <c r="J10" s="9">
        <f t="shared" si="1"/>
        <v>105</v>
      </c>
      <c r="K10" s="41">
        <f t="shared" si="1"/>
        <v>98</v>
      </c>
      <c r="L10" s="46">
        <f t="shared" si="1"/>
        <v>67</v>
      </c>
      <c r="M10" s="47">
        <f t="shared" si="1"/>
        <v>58</v>
      </c>
      <c r="N10" s="46">
        <f t="shared" ref="N10:AA10" si="2">SUM(N4:N8)</f>
        <v>99</v>
      </c>
      <c r="O10" s="47">
        <f t="shared" si="2"/>
        <v>88</v>
      </c>
      <c r="P10" s="46">
        <f t="shared" si="2"/>
        <v>173</v>
      </c>
      <c r="Q10" s="47">
        <f t="shared" si="2"/>
        <v>150</v>
      </c>
      <c r="R10" s="46">
        <f t="shared" si="2"/>
        <v>340</v>
      </c>
      <c r="S10" s="47">
        <f t="shared" si="2"/>
        <v>309</v>
      </c>
      <c r="T10" s="46">
        <f t="shared" si="2"/>
        <v>91</v>
      </c>
      <c r="U10" s="47">
        <f t="shared" si="2"/>
        <v>85</v>
      </c>
      <c r="V10" s="46">
        <f t="shared" si="2"/>
        <v>97</v>
      </c>
      <c r="W10" s="47">
        <f t="shared" si="2"/>
        <v>87</v>
      </c>
      <c r="X10" s="46">
        <f t="shared" si="2"/>
        <v>81</v>
      </c>
      <c r="Y10" s="47">
        <f t="shared" si="2"/>
        <v>69</v>
      </c>
      <c r="Z10" s="24">
        <f t="shared" si="2"/>
        <v>1311</v>
      </c>
      <c r="AA10" s="10">
        <f t="shared" si="2"/>
        <v>1178</v>
      </c>
    </row>
    <row r="13" spans="1:27" ht="23.25" x14ac:dyDescent="0.35">
      <c r="O13" s="4"/>
      <c r="S13" s="3"/>
    </row>
    <row r="14" spans="1:27" ht="30" x14ac:dyDescent="0.3">
      <c r="C14" s="19" t="s">
        <v>21</v>
      </c>
      <c r="D14" s="19" t="s">
        <v>22</v>
      </c>
      <c r="O14" s="1"/>
      <c r="P14" s="2"/>
    </row>
    <row r="15" spans="1:27" ht="20.25" x14ac:dyDescent="0.3">
      <c r="B15" t="s">
        <v>8</v>
      </c>
      <c r="C15" s="19">
        <f>'2024'!B10</f>
        <v>50</v>
      </c>
      <c r="D15" s="19">
        <f>'2024'!C10</f>
        <v>49</v>
      </c>
      <c r="O15" s="1"/>
      <c r="P15" s="2"/>
    </row>
    <row r="16" spans="1:27" ht="20.25" x14ac:dyDescent="0.3">
      <c r="B16" t="s">
        <v>9</v>
      </c>
      <c r="C16" s="19">
        <f>'2024'!D10</f>
        <v>58</v>
      </c>
      <c r="D16" s="19">
        <f>'2024'!E10</f>
        <v>52</v>
      </c>
      <c r="O16" s="1"/>
      <c r="P16" s="2"/>
    </row>
    <row r="17" spans="2:16" ht="20.25" x14ac:dyDescent="0.3">
      <c r="B17" t="s">
        <v>10</v>
      </c>
      <c r="C17" s="19">
        <f>'2024'!F10</f>
        <v>0</v>
      </c>
      <c r="D17" s="19">
        <f>'2024'!G10</f>
        <v>0</v>
      </c>
      <c r="O17" s="1"/>
      <c r="P17" s="2"/>
    </row>
    <row r="18" spans="2:16" ht="20.25" x14ac:dyDescent="0.3">
      <c r="B18" t="s">
        <v>11</v>
      </c>
      <c r="C18" s="19">
        <f>'2024'!H10</f>
        <v>0</v>
      </c>
      <c r="D18" s="19">
        <f>'2024'!I10</f>
        <v>0</v>
      </c>
      <c r="O18" s="1"/>
      <c r="P18" s="2"/>
    </row>
    <row r="19" spans="2:16" ht="20.25" x14ac:dyDescent="0.3">
      <c r="B19" t="s">
        <v>12</v>
      </c>
      <c r="C19" s="19">
        <f>'2024'!$J$10</f>
        <v>0</v>
      </c>
      <c r="D19" s="19">
        <f>'2024'!$K$10</f>
        <v>0</v>
      </c>
      <c r="O19" s="1"/>
      <c r="P19" s="2"/>
    </row>
    <row r="20" spans="2:16" ht="20.25" x14ac:dyDescent="0.3">
      <c r="B20" t="s">
        <v>13</v>
      </c>
      <c r="C20" s="19">
        <f>'2024'!L10</f>
        <v>0</v>
      </c>
      <c r="D20" s="19">
        <f>'2024'!M10</f>
        <v>0</v>
      </c>
      <c r="O20" s="1"/>
      <c r="P20" s="2"/>
    </row>
    <row r="21" spans="2:16" ht="18.75" x14ac:dyDescent="0.3">
      <c r="B21" t="s">
        <v>0</v>
      </c>
      <c r="C21" s="19">
        <f>'2024'!N10</f>
        <v>0</v>
      </c>
      <c r="D21" s="19">
        <f>'2024'!O10</f>
        <v>0</v>
      </c>
      <c r="P21" s="2"/>
    </row>
    <row r="22" spans="2:16" ht="20.25" x14ac:dyDescent="0.3">
      <c r="B22" t="s">
        <v>20</v>
      </c>
      <c r="C22" s="19">
        <f>'2024'!P10</f>
        <v>0</v>
      </c>
      <c r="D22" s="19">
        <f>'2024'!Q10</f>
        <v>0</v>
      </c>
      <c r="O22" s="1"/>
      <c r="P22" s="2"/>
    </row>
    <row r="23" spans="2:16" ht="18.75" x14ac:dyDescent="0.3">
      <c r="B23" t="s">
        <v>4</v>
      </c>
      <c r="C23" s="19">
        <f>'2024'!R10</f>
        <v>0</v>
      </c>
      <c r="D23" s="19">
        <f>'2024'!S10</f>
        <v>0</v>
      </c>
      <c r="P23" s="2"/>
    </row>
    <row r="24" spans="2:16" x14ac:dyDescent="0.25">
      <c r="B24" t="s">
        <v>5</v>
      </c>
      <c r="C24" s="19">
        <f>'2024'!T10</f>
        <v>0</v>
      </c>
      <c r="D24" s="19">
        <f>'2024'!U10</f>
        <v>0</v>
      </c>
    </row>
    <row r="25" spans="2:16" x14ac:dyDescent="0.25">
      <c r="B25" t="s">
        <v>6</v>
      </c>
      <c r="C25" s="19">
        <f>'2024'!V10</f>
        <v>0</v>
      </c>
      <c r="D25" s="19">
        <f>'2024'!W10</f>
        <v>0</v>
      </c>
    </row>
    <row r="26" spans="2:16" x14ac:dyDescent="0.25">
      <c r="B26" t="s">
        <v>7</v>
      </c>
      <c r="C26" s="19">
        <f>'2024'!X10</f>
        <v>0</v>
      </c>
      <c r="D26" s="19">
        <f>'2024'!Y10</f>
        <v>0</v>
      </c>
    </row>
    <row r="28" spans="2:16" x14ac:dyDescent="0.25">
      <c r="C28">
        <f>SUM(C15:C26)</f>
        <v>108</v>
      </c>
      <c r="D28">
        <f>SUM(D15:D26)</f>
        <v>101</v>
      </c>
    </row>
  </sheetData>
  <mergeCells count="1">
    <mergeCell ref="Z2:AA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5A5E6-9ED0-4F43-BF6C-BCABDFBC172E}">
  <dimension ref="A2:AA16"/>
  <sheetViews>
    <sheetView tabSelected="1" zoomScale="80" zoomScaleNormal="80" workbookViewId="0">
      <selection activeCell="F20" sqref="F20"/>
    </sheetView>
  </sheetViews>
  <sheetFormatPr defaultRowHeight="15" x14ac:dyDescent="0.25"/>
  <cols>
    <col min="1" max="1" width="18.85546875" customWidth="1"/>
    <col min="2" max="2" width="13.5703125" customWidth="1"/>
    <col min="14" max="25" width="9.140625" customWidth="1"/>
  </cols>
  <sheetData>
    <row r="2" spans="1:27" ht="15.75" thickBot="1" x14ac:dyDescent="0.3"/>
    <row r="3" spans="1:27" ht="15.75" thickBot="1" x14ac:dyDescent="0.3">
      <c r="A3" s="6"/>
      <c r="B3" s="100" t="s">
        <v>23</v>
      </c>
      <c r="C3" s="101"/>
      <c r="D3" s="102" t="s">
        <v>24</v>
      </c>
      <c r="E3" s="101"/>
      <c r="F3" s="103" t="s">
        <v>25</v>
      </c>
      <c r="G3" s="104"/>
      <c r="H3" s="103" t="s">
        <v>26</v>
      </c>
      <c r="I3" s="104"/>
      <c r="J3" s="103" t="s">
        <v>27</v>
      </c>
      <c r="K3" s="104"/>
      <c r="L3" s="105" t="s">
        <v>28</v>
      </c>
      <c r="M3" s="106"/>
      <c r="N3" s="107" t="s">
        <v>42</v>
      </c>
      <c r="O3" s="108"/>
      <c r="P3" s="109" t="s">
        <v>43</v>
      </c>
      <c r="Q3" s="110"/>
      <c r="R3" s="111" t="s">
        <v>44</v>
      </c>
      <c r="S3" s="112"/>
      <c r="T3" s="111" t="s">
        <v>45</v>
      </c>
      <c r="U3" s="112"/>
      <c r="V3" s="111" t="s">
        <v>46</v>
      </c>
      <c r="W3" s="112"/>
      <c r="X3" s="113" t="s">
        <v>47</v>
      </c>
      <c r="Y3" s="114"/>
      <c r="Z3" s="98" t="s">
        <v>29</v>
      </c>
      <c r="AA3" s="99"/>
    </row>
    <row r="4" spans="1:27" x14ac:dyDescent="0.25">
      <c r="A4" s="66" t="s">
        <v>31</v>
      </c>
      <c r="B4" s="71" t="s">
        <v>41</v>
      </c>
      <c r="C4" s="79" t="s">
        <v>37</v>
      </c>
      <c r="D4" s="75" t="s">
        <v>41</v>
      </c>
      <c r="E4" s="79" t="s">
        <v>39</v>
      </c>
      <c r="F4" s="75" t="s">
        <v>41</v>
      </c>
      <c r="G4" s="79" t="s">
        <v>39</v>
      </c>
      <c r="H4" s="75" t="s">
        <v>41</v>
      </c>
      <c r="I4" s="79" t="s">
        <v>39</v>
      </c>
      <c r="J4" s="75" t="s">
        <v>41</v>
      </c>
      <c r="K4" s="79" t="s">
        <v>39</v>
      </c>
      <c r="L4" s="75" t="s">
        <v>41</v>
      </c>
      <c r="M4" s="92" t="s">
        <v>39</v>
      </c>
      <c r="N4" s="96" t="s">
        <v>41</v>
      </c>
      <c r="O4" s="97" t="s">
        <v>39</v>
      </c>
      <c r="P4" s="95" t="s">
        <v>41</v>
      </c>
      <c r="Q4" s="34" t="s">
        <v>37</v>
      </c>
      <c r="R4" s="33" t="s">
        <v>41</v>
      </c>
      <c r="S4" s="34" t="s">
        <v>39</v>
      </c>
      <c r="T4" s="33" t="s">
        <v>41</v>
      </c>
      <c r="U4" s="34" t="s">
        <v>39</v>
      </c>
      <c r="V4" s="33" t="s">
        <v>41</v>
      </c>
      <c r="W4" s="34" t="s">
        <v>37</v>
      </c>
      <c r="X4" s="33" t="s">
        <v>41</v>
      </c>
      <c r="Y4" s="34" t="s">
        <v>39</v>
      </c>
      <c r="Z4" s="87" t="s">
        <v>48</v>
      </c>
      <c r="AA4" s="83" t="s">
        <v>37</v>
      </c>
    </row>
    <row r="5" spans="1:27" x14ac:dyDescent="0.25">
      <c r="A5" s="67" t="s">
        <v>34</v>
      </c>
      <c r="B5" s="72">
        <v>60</v>
      </c>
      <c r="C5" s="80">
        <f>60*300</f>
        <v>18000</v>
      </c>
      <c r="D5" s="76">
        <v>65</v>
      </c>
      <c r="E5" s="80">
        <f>D5*300</f>
        <v>19500</v>
      </c>
      <c r="F5" s="76"/>
      <c r="G5" s="80"/>
      <c r="H5" s="76"/>
      <c r="I5" s="80"/>
      <c r="J5" s="76"/>
      <c r="K5" s="80"/>
      <c r="L5" s="76"/>
      <c r="M5" s="93"/>
      <c r="N5" s="29"/>
      <c r="O5" s="30"/>
      <c r="P5" s="24"/>
      <c r="Q5" s="30"/>
      <c r="R5" s="29"/>
      <c r="S5" s="30"/>
      <c r="T5" s="29"/>
      <c r="U5" s="30"/>
      <c r="V5" s="29"/>
      <c r="W5" s="30"/>
      <c r="X5" s="29"/>
      <c r="Y5" s="30"/>
      <c r="Z5" s="88">
        <f>SUM(B5,D5,F5,H5,J5,L5,N5,P5,R5,T5,V5,X5)</f>
        <v>125</v>
      </c>
      <c r="AA5" s="86">
        <f>SUM(C5,E5,G5,I5,K5,M5,O5,Q5,S5,U5,W5,Y5)</f>
        <v>37500</v>
      </c>
    </row>
    <row r="6" spans="1:27" x14ac:dyDescent="0.25">
      <c r="A6" s="67" t="s">
        <v>35</v>
      </c>
      <c r="B6" s="72">
        <v>45</v>
      </c>
      <c r="C6" s="80">
        <f>B6*1000</f>
        <v>45000</v>
      </c>
      <c r="D6" s="76">
        <v>40</v>
      </c>
      <c r="E6" s="80">
        <f>D6*1000</f>
        <v>40000</v>
      </c>
      <c r="F6" s="76"/>
      <c r="G6" s="80"/>
      <c r="H6" s="76"/>
      <c r="I6" s="80"/>
      <c r="J6" s="76"/>
      <c r="K6" s="80"/>
      <c r="L6" s="76"/>
      <c r="M6" s="93"/>
      <c r="N6" s="29"/>
      <c r="O6" s="30"/>
      <c r="P6" s="24"/>
      <c r="Q6" s="30"/>
      <c r="R6" s="29"/>
      <c r="S6" s="30"/>
      <c r="T6" s="29"/>
      <c r="U6" s="30"/>
      <c r="V6" s="29"/>
      <c r="W6" s="30"/>
      <c r="X6" s="29"/>
      <c r="Y6" s="30"/>
      <c r="Z6" s="88">
        <f t="shared" ref="Z6:AA10" si="0">SUM(B6,D6,F6,H6,J6,L6,N6,P6,R6,T6,V6,X6)</f>
        <v>85</v>
      </c>
      <c r="AA6" s="86">
        <f t="shared" si="0"/>
        <v>85000</v>
      </c>
    </row>
    <row r="7" spans="1:27" ht="30" x14ac:dyDescent="0.25">
      <c r="A7" s="68" t="s">
        <v>36</v>
      </c>
      <c r="B7" s="72">
        <v>6</v>
      </c>
      <c r="C7" s="80">
        <f>B7*1000</f>
        <v>6000</v>
      </c>
      <c r="D7" s="76">
        <v>5</v>
      </c>
      <c r="E7" s="80">
        <f>D7*1000</f>
        <v>5000</v>
      </c>
      <c r="F7" s="76"/>
      <c r="G7" s="80"/>
      <c r="H7" s="76"/>
      <c r="I7" s="80"/>
      <c r="J7" s="76"/>
      <c r="K7" s="80"/>
      <c r="L7" s="76"/>
      <c r="M7" s="93"/>
      <c r="N7" s="29"/>
      <c r="O7" s="30"/>
      <c r="P7" s="24"/>
      <c r="Q7" s="30"/>
      <c r="R7" s="29"/>
      <c r="S7" s="30"/>
      <c r="T7" s="29"/>
      <c r="U7" s="30"/>
      <c r="V7" s="29"/>
      <c r="W7" s="30"/>
      <c r="X7" s="29"/>
      <c r="Y7" s="30"/>
      <c r="Z7" s="88">
        <f t="shared" si="0"/>
        <v>11</v>
      </c>
      <c r="AA7" s="86">
        <f t="shared" si="0"/>
        <v>11000</v>
      </c>
    </row>
    <row r="8" spans="1:27" x14ac:dyDescent="0.25">
      <c r="A8" s="67" t="s">
        <v>32</v>
      </c>
      <c r="B8" s="72">
        <v>30</v>
      </c>
      <c r="C8" s="80">
        <f>B8*600</f>
        <v>18000</v>
      </c>
      <c r="D8" s="76">
        <v>25</v>
      </c>
      <c r="E8" s="80">
        <f>D8*600</f>
        <v>15000</v>
      </c>
      <c r="F8" s="76"/>
      <c r="G8" s="80"/>
      <c r="H8" s="76"/>
      <c r="I8" s="80"/>
      <c r="J8" s="76"/>
      <c r="K8" s="80"/>
      <c r="L8" s="76"/>
      <c r="M8" s="93"/>
      <c r="N8" s="29"/>
      <c r="O8" s="30"/>
      <c r="P8" s="24"/>
      <c r="Q8" s="30"/>
      <c r="R8" s="29"/>
      <c r="S8" s="30"/>
      <c r="T8" s="29"/>
      <c r="U8" s="30"/>
      <c r="V8" s="29"/>
      <c r="W8" s="30"/>
      <c r="X8" s="29"/>
      <c r="Y8" s="30"/>
      <c r="Z8" s="88">
        <f t="shared" si="0"/>
        <v>55</v>
      </c>
      <c r="AA8" s="86">
        <f t="shared" si="0"/>
        <v>33000</v>
      </c>
    </row>
    <row r="9" spans="1:27" ht="45.75" thickBot="1" x14ac:dyDescent="0.3">
      <c r="A9" s="68" t="s">
        <v>33</v>
      </c>
      <c r="B9" s="72">
        <v>20</v>
      </c>
      <c r="C9" s="80">
        <f>20*1000</f>
        <v>20000</v>
      </c>
      <c r="D9" s="76">
        <v>20</v>
      </c>
      <c r="E9" s="80">
        <f>D9*1000</f>
        <v>20000</v>
      </c>
      <c r="F9" s="76"/>
      <c r="G9" s="80"/>
      <c r="H9" s="76"/>
      <c r="I9" s="80"/>
      <c r="J9" s="76"/>
      <c r="K9" s="80"/>
      <c r="L9" s="76"/>
      <c r="M9" s="93"/>
      <c r="N9" s="29"/>
      <c r="O9" s="30"/>
      <c r="P9" s="65"/>
      <c r="Q9" s="32"/>
      <c r="R9" s="31"/>
      <c r="S9" s="32"/>
      <c r="T9" s="31"/>
      <c r="U9" s="32"/>
      <c r="V9" s="31"/>
      <c r="W9" s="32"/>
      <c r="X9" s="31"/>
      <c r="Y9" s="32"/>
      <c r="Z9" s="88">
        <f t="shared" si="0"/>
        <v>40</v>
      </c>
      <c r="AA9" s="86">
        <f t="shared" si="0"/>
        <v>40000</v>
      </c>
    </row>
    <row r="10" spans="1:27" ht="30.75" thickBot="1" x14ac:dyDescent="0.3">
      <c r="A10" s="69" t="s">
        <v>40</v>
      </c>
      <c r="B10" s="73">
        <v>7</v>
      </c>
      <c r="C10" s="81">
        <f>B10*1000</f>
        <v>7000</v>
      </c>
      <c r="D10" s="77">
        <v>8</v>
      </c>
      <c r="E10" s="81">
        <f>D10*1000</f>
        <v>8000</v>
      </c>
      <c r="F10" s="77"/>
      <c r="G10" s="81"/>
      <c r="H10" s="77"/>
      <c r="I10" s="81"/>
      <c r="J10" s="77"/>
      <c r="K10" s="81"/>
      <c r="L10" s="77"/>
      <c r="M10" s="94"/>
      <c r="N10" s="31"/>
      <c r="O10" s="32"/>
      <c r="P10" s="63"/>
      <c r="Q10" s="64"/>
      <c r="R10" s="63"/>
      <c r="S10" s="64"/>
      <c r="T10" s="63"/>
      <c r="U10" s="64"/>
      <c r="V10" s="63"/>
      <c r="W10" s="64"/>
      <c r="X10" s="63"/>
      <c r="Y10" s="64"/>
      <c r="Z10" s="88">
        <f t="shared" si="0"/>
        <v>15</v>
      </c>
      <c r="AA10" s="86">
        <f t="shared" si="0"/>
        <v>15000</v>
      </c>
    </row>
    <row r="11" spans="1:27" ht="15.75" thickBot="1" x14ac:dyDescent="0.3">
      <c r="A11" s="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6"/>
      <c r="O11" s="6"/>
      <c r="P11" s="8"/>
      <c r="Q11" s="8"/>
      <c r="R11" s="6"/>
      <c r="S11" s="6"/>
      <c r="T11" s="6"/>
      <c r="U11" s="6"/>
      <c r="V11" s="6"/>
      <c r="W11" s="6"/>
      <c r="X11" s="6"/>
      <c r="Y11" s="6"/>
    </row>
    <row r="12" spans="1:27" ht="15.75" thickBot="1" x14ac:dyDescent="0.3">
      <c r="A12" s="85" t="s">
        <v>19</v>
      </c>
      <c r="B12" s="74">
        <f>SUM(B5:B11)</f>
        <v>168</v>
      </c>
      <c r="C12" s="82">
        <f t="shared" ref="C12" si="1">SUM(C5:C11)</f>
        <v>114000</v>
      </c>
      <c r="D12" s="78">
        <f>SUM(D5:D10)</f>
        <v>163</v>
      </c>
      <c r="E12" s="82">
        <f>SUM(E5:E9)</f>
        <v>99500</v>
      </c>
      <c r="F12" s="78">
        <f t="shared" ref="F12:W12" si="2">SUM(F5:F10)</f>
        <v>0</v>
      </c>
      <c r="G12" s="82">
        <f t="shared" si="2"/>
        <v>0</v>
      </c>
      <c r="H12" s="78">
        <f t="shared" si="2"/>
        <v>0</v>
      </c>
      <c r="I12" s="82">
        <f t="shared" si="2"/>
        <v>0</v>
      </c>
      <c r="J12" s="78">
        <f t="shared" si="2"/>
        <v>0</v>
      </c>
      <c r="K12" s="82">
        <f t="shared" si="2"/>
        <v>0</v>
      </c>
      <c r="L12" s="78">
        <f t="shared" si="2"/>
        <v>0</v>
      </c>
      <c r="M12" s="84">
        <f t="shared" si="2"/>
        <v>0</v>
      </c>
      <c r="N12" s="70">
        <f t="shared" si="2"/>
        <v>0</v>
      </c>
      <c r="O12" s="47">
        <f t="shared" si="2"/>
        <v>0</v>
      </c>
      <c r="P12" s="46">
        <f t="shared" si="2"/>
        <v>0</v>
      </c>
      <c r="Q12" s="47">
        <f t="shared" si="2"/>
        <v>0</v>
      </c>
      <c r="R12" s="46">
        <f t="shared" si="2"/>
        <v>0</v>
      </c>
      <c r="S12" s="47">
        <f t="shared" si="2"/>
        <v>0</v>
      </c>
      <c r="T12" s="46">
        <f t="shared" si="2"/>
        <v>0</v>
      </c>
      <c r="U12" s="47">
        <f t="shared" si="2"/>
        <v>0</v>
      </c>
      <c r="V12" s="46">
        <f t="shared" si="2"/>
        <v>0</v>
      </c>
      <c r="W12" s="47">
        <f t="shared" si="2"/>
        <v>0</v>
      </c>
      <c r="X12" s="46">
        <f>SUM(X5:X10)</f>
        <v>0</v>
      </c>
      <c r="Y12" s="47">
        <f>SUM(Y5:Y10)</f>
        <v>0</v>
      </c>
      <c r="Z12" s="89">
        <f>SUM(Z5:Z10)</f>
        <v>331</v>
      </c>
      <c r="AA12" s="80">
        <f>SUM(AA5:AA10)</f>
        <v>221500</v>
      </c>
    </row>
    <row r="14" spans="1:27" x14ac:dyDescent="0.25">
      <c r="A14" t="s">
        <v>49</v>
      </c>
      <c r="C14">
        <v>49</v>
      </c>
      <c r="E14">
        <v>52</v>
      </c>
      <c r="G14">
        <f>'2023_1 '!D17</f>
        <v>78</v>
      </c>
      <c r="I14">
        <f>'2023_1 '!D18</f>
        <v>66</v>
      </c>
      <c r="K14">
        <f>'2023_1 '!D19</f>
        <v>60</v>
      </c>
      <c r="M14">
        <f>'2023_1 '!D20</f>
        <v>43</v>
      </c>
      <c r="O14">
        <v>67</v>
      </c>
      <c r="Q14">
        <f>'2023'!Q10</f>
        <v>99</v>
      </c>
      <c r="S14">
        <v>46</v>
      </c>
      <c r="U14">
        <v>71</v>
      </c>
      <c r="W14">
        <v>64</v>
      </c>
      <c r="Y14">
        <v>33</v>
      </c>
      <c r="Z14">
        <f>SUM(C14:Y14)</f>
        <v>728</v>
      </c>
    </row>
    <row r="15" spans="1:27" x14ac:dyDescent="0.25">
      <c r="A15" t="s">
        <v>50</v>
      </c>
      <c r="C15">
        <f>C12/C14</f>
        <v>2326.5306122448978</v>
      </c>
      <c r="E15">
        <f>E12/73</f>
        <v>1363.013698630137</v>
      </c>
      <c r="G15">
        <f>G12/'2023_1 '!D17</f>
        <v>0</v>
      </c>
      <c r="I15">
        <f>I12/'2023_1 '!D18</f>
        <v>0</v>
      </c>
      <c r="K15">
        <f>K12/'2023_1 '!D19</f>
        <v>0</v>
      </c>
      <c r="M15">
        <f>M12/'2023_1 '!D20</f>
        <v>0</v>
      </c>
      <c r="O15">
        <f>O12/O14</f>
        <v>0</v>
      </c>
      <c r="Q15">
        <f>Q12/Q14</f>
        <v>0</v>
      </c>
      <c r="S15">
        <f>S12/S14</f>
        <v>0</v>
      </c>
      <c r="U15">
        <f>U12/U14</f>
        <v>0</v>
      </c>
      <c r="W15">
        <f>W12/W14</f>
        <v>0</v>
      </c>
      <c r="Y15">
        <f>Y12/Y14</f>
        <v>0</v>
      </c>
      <c r="Z15" s="91">
        <f>AA12/Z14</f>
        <v>304.25824175824175</v>
      </c>
    </row>
    <row r="16" spans="1:27" x14ac:dyDescent="0.25">
      <c r="Z16" s="90">
        <f>AA12/374</f>
        <v>592.24598930481284</v>
      </c>
    </row>
  </sheetData>
  <mergeCells count="13">
    <mergeCell ref="L3:M3"/>
    <mergeCell ref="B3:C3"/>
    <mergeCell ref="D3:E3"/>
    <mergeCell ref="F3:G3"/>
    <mergeCell ref="H3:I3"/>
    <mergeCell ref="J3:K3"/>
    <mergeCell ref="Z3:AA3"/>
    <mergeCell ref="N3:O3"/>
    <mergeCell ref="P3:Q3"/>
    <mergeCell ref="R3:S3"/>
    <mergeCell ref="T3:U3"/>
    <mergeCell ref="V3:W3"/>
    <mergeCell ref="X3:Y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BBF64-15A2-412C-AF09-947C6EBFF614}">
  <dimension ref="B6:E23"/>
  <sheetViews>
    <sheetView topLeftCell="A7" zoomScale="130" zoomScaleNormal="130" workbookViewId="0">
      <selection activeCell="J20" sqref="J20"/>
    </sheetView>
  </sheetViews>
  <sheetFormatPr defaultRowHeight="15" x14ac:dyDescent="0.25"/>
  <cols>
    <col min="2" max="2" width="26.42578125" customWidth="1"/>
  </cols>
  <sheetData>
    <row r="6" spans="2:5" x14ac:dyDescent="0.25">
      <c r="B6" t="s">
        <v>51</v>
      </c>
      <c r="C6" s="5" t="s">
        <v>58</v>
      </c>
    </row>
    <row r="7" spans="2:5" x14ac:dyDescent="0.25">
      <c r="B7" t="s">
        <v>52</v>
      </c>
      <c r="C7">
        <v>50000</v>
      </c>
      <c r="D7">
        <v>12</v>
      </c>
      <c r="E7">
        <f>C7*D7</f>
        <v>600000</v>
      </c>
    </row>
    <row r="8" spans="2:5" x14ac:dyDescent="0.25">
      <c r="B8" t="s">
        <v>53</v>
      </c>
      <c r="C8">
        <f>C7*30.2/100</f>
        <v>15100</v>
      </c>
      <c r="D8">
        <v>12</v>
      </c>
      <c r="E8">
        <f>C8*12</f>
        <v>181200</v>
      </c>
    </row>
    <row r="9" spans="2:5" x14ac:dyDescent="0.25">
      <c r="B9" t="s">
        <v>54</v>
      </c>
      <c r="C9">
        <v>15000</v>
      </c>
      <c r="D9">
        <v>12</v>
      </c>
      <c r="E9">
        <f>C9*D9</f>
        <v>180000</v>
      </c>
    </row>
    <row r="10" spans="2:5" x14ac:dyDescent="0.25">
      <c r="B10" t="s">
        <v>56</v>
      </c>
      <c r="C10">
        <v>20000</v>
      </c>
      <c r="D10">
        <v>12</v>
      </c>
      <c r="E10">
        <f>C10*D10</f>
        <v>240000</v>
      </c>
    </row>
    <row r="11" spans="2:5" x14ac:dyDescent="0.25">
      <c r="B11" t="s">
        <v>55</v>
      </c>
      <c r="C11">
        <v>2000</v>
      </c>
      <c r="D11">
        <v>12</v>
      </c>
      <c r="E11">
        <f>C11*D11</f>
        <v>24000</v>
      </c>
    </row>
    <row r="12" spans="2:5" x14ac:dyDescent="0.25">
      <c r="B12" t="s">
        <v>57</v>
      </c>
      <c r="C12">
        <v>10000</v>
      </c>
      <c r="D12">
        <v>12</v>
      </c>
      <c r="E12">
        <f>C12*D12</f>
        <v>120000</v>
      </c>
    </row>
    <row r="13" spans="2:5" x14ac:dyDescent="0.25">
      <c r="B13" t="s">
        <v>59</v>
      </c>
      <c r="C13">
        <v>20000</v>
      </c>
      <c r="D13">
        <v>12</v>
      </c>
      <c r="E13">
        <f>C13*D13</f>
        <v>240000</v>
      </c>
    </row>
    <row r="15" spans="2:5" x14ac:dyDescent="0.25">
      <c r="B15" t="s">
        <v>60</v>
      </c>
    </row>
    <row r="16" spans="2:5" x14ac:dyDescent="0.25">
      <c r="B16" t="s">
        <v>64</v>
      </c>
      <c r="C16">
        <v>80000</v>
      </c>
      <c r="D16">
        <v>4</v>
      </c>
      <c r="E16">
        <f>C16*D16</f>
        <v>320000</v>
      </c>
    </row>
    <row r="17" spans="2:5" x14ac:dyDescent="0.25">
      <c r="B17" t="s">
        <v>63</v>
      </c>
      <c r="C17">
        <v>25000</v>
      </c>
      <c r="D17">
        <v>1</v>
      </c>
      <c r="E17">
        <f>25000*1</f>
        <v>25000</v>
      </c>
    </row>
    <row r="18" spans="2:5" x14ac:dyDescent="0.25">
      <c r="B18" t="s">
        <v>61</v>
      </c>
      <c r="C18">
        <v>15000</v>
      </c>
      <c r="E18">
        <f>C18</f>
        <v>15000</v>
      </c>
    </row>
    <row r="19" spans="2:5" x14ac:dyDescent="0.25">
      <c r="B19" t="s">
        <v>62</v>
      </c>
      <c r="C19">
        <v>10000</v>
      </c>
      <c r="D19">
        <v>2</v>
      </c>
      <c r="E19">
        <f>C19*2</f>
        <v>20000</v>
      </c>
    </row>
    <row r="20" spans="2:5" x14ac:dyDescent="0.25">
      <c r="E20">
        <f>SUM(E7:E19)</f>
        <v>1965200</v>
      </c>
    </row>
    <row r="22" spans="2:5" x14ac:dyDescent="0.25">
      <c r="E22">
        <v>2040000</v>
      </c>
    </row>
    <row r="23" spans="2:5" x14ac:dyDescent="0.25">
      <c r="E23">
        <f>E20+E22</f>
        <v>4005200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8B93A-E6ED-46D6-B6EB-A684E9B641F5}">
  <dimension ref="B3:N22"/>
  <sheetViews>
    <sheetView topLeftCell="B7" workbookViewId="0">
      <selection activeCell="E25" sqref="E25"/>
    </sheetView>
  </sheetViews>
  <sheetFormatPr defaultRowHeight="15" x14ac:dyDescent="0.25"/>
  <cols>
    <col min="3" max="3" width="12.28515625" customWidth="1"/>
    <col min="4" max="4" width="12.85546875" customWidth="1"/>
    <col min="5" max="5" width="12.42578125" customWidth="1"/>
    <col min="7" max="7" width="11.5703125" customWidth="1"/>
    <col min="9" max="9" width="12.140625" customWidth="1"/>
    <col min="11" max="11" width="12" customWidth="1"/>
    <col min="13" max="13" width="13.85546875" customWidth="1"/>
  </cols>
  <sheetData>
    <row r="3" spans="2:14" x14ac:dyDescent="0.25">
      <c r="B3" s="6"/>
      <c r="C3" s="16" t="s">
        <v>0</v>
      </c>
      <c r="D3" s="16"/>
      <c r="E3" s="16" t="s">
        <v>3</v>
      </c>
      <c r="F3" s="16"/>
      <c r="G3" s="17" t="s">
        <v>4</v>
      </c>
      <c r="H3" s="17"/>
      <c r="I3" s="17" t="s">
        <v>5</v>
      </c>
      <c r="J3" s="17"/>
      <c r="K3" s="17" t="s">
        <v>6</v>
      </c>
      <c r="L3" s="17"/>
      <c r="M3" s="18" t="s">
        <v>7</v>
      </c>
      <c r="N3" s="18"/>
    </row>
    <row r="4" spans="2:14" x14ac:dyDescent="0.25">
      <c r="B4" s="6"/>
      <c r="C4" s="13" t="s">
        <v>1</v>
      </c>
      <c r="D4" s="11" t="s">
        <v>2</v>
      </c>
      <c r="E4" s="14" t="s">
        <v>1</v>
      </c>
      <c r="F4" s="12" t="s">
        <v>2</v>
      </c>
      <c r="G4" s="14" t="s">
        <v>1</v>
      </c>
      <c r="H4" s="12" t="s">
        <v>2</v>
      </c>
      <c r="I4" s="14" t="s">
        <v>1</v>
      </c>
      <c r="J4" s="12" t="s">
        <v>2</v>
      </c>
      <c r="K4" s="14" t="s">
        <v>1</v>
      </c>
      <c r="L4" s="12" t="s">
        <v>2</v>
      </c>
      <c r="M4" s="14" t="s">
        <v>1</v>
      </c>
      <c r="N4" s="12" t="s">
        <v>2</v>
      </c>
    </row>
    <row r="5" spans="2:14" x14ac:dyDescent="0.25">
      <c r="B5" s="7" t="s">
        <v>14</v>
      </c>
      <c r="C5" s="9">
        <v>61</v>
      </c>
      <c r="D5" s="10">
        <v>61</v>
      </c>
      <c r="E5" s="9">
        <v>111</v>
      </c>
      <c r="F5" s="10">
        <v>105</v>
      </c>
      <c r="G5" s="9">
        <v>24</v>
      </c>
      <c r="H5" s="10">
        <v>22</v>
      </c>
      <c r="I5" s="9">
        <v>9</v>
      </c>
      <c r="J5" s="10">
        <v>9</v>
      </c>
      <c r="K5" s="9">
        <v>11</v>
      </c>
      <c r="L5" s="10">
        <v>10</v>
      </c>
      <c r="M5" s="9">
        <v>27</v>
      </c>
      <c r="N5" s="10">
        <v>25</v>
      </c>
    </row>
    <row r="6" spans="2:14" x14ac:dyDescent="0.25">
      <c r="B6" s="7" t="s">
        <v>15</v>
      </c>
      <c r="C6" s="9">
        <v>6</v>
      </c>
      <c r="D6" s="10">
        <v>6</v>
      </c>
      <c r="E6" s="9">
        <v>16</v>
      </c>
      <c r="F6" s="10">
        <v>16</v>
      </c>
      <c r="G6" s="9">
        <v>7</v>
      </c>
      <c r="H6" s="10">
        <v>7</v>
      </c>
      <c r="I6" s="9">
        <v>12</v>
      </c>
      <c r="J6" s="10">
        <v>12</v>
      </c>
      <c r="K6" s="9">
        <v>8</v>
      </c>
      <c r="L6" s="10">
        <v>7</v>
      </c>
      <c r="M6" s="9">
        <v>8</v>
      </c>
      <c r="N6" s="10">
        <v>8</v>
      </c>
    </row>
    <row r="7" spans="2:14" x14ac:dyDescent="0.25">
      <c r="B7" s="7" t="s">
        <v>16</v>
      </c>
      <c r="C7" s="9">
        <v>1</v>
      </c>
      <c r="D7" s="10">
        <v>1</v>
      </c>
      <c r="E7" s="9">
        <v>9</v>
      </c>
      <c r="F7" s="10">
        <v>8</v>
      </c>
      <c r="G7" s="9">
        <v>9</v>
      </c>
      <c r="H7" s="10">
        <v>9</v>
      </c>
      <c r="I7" s="9">
        <v>4</v>
      </c>
      <c r="J7" s="10">
        <v>4</v>
      </c>
      <c r="K7" s="9">
        <v>3</v>
      </c>
      <c r="L7" s="10">
        <v>3</v>
      </c>
      <c r="M7" s="9">
        <v>1</v>
      </c>
      <c r="N7" s="10">
        <v>1</v>
      </c>
    </row>
    <row r="8" spans="2:14" x14ac:dyDescent="0.25">
      <c r="B8" s="7" t="s">
        <v>17</v>
      </c>
      <c r="C8" s="9">
        <v>3</v>
      </c>
      <c r="D8" s="10">
        <v>3</v>
      </c>
      <c r="E8" s="9">
        <v>6</v>
      </c>
      <c r="F8" s="10">
        <v>6</v>
      </c>
      <c r="G8" s="9">
        <v>4</v>
      </c>
      <c r="H8" s="10">
        <v>3</v>
      </c>
      <c r="I8" s="9">
        <v>3</v>
      </c>
      <c r="J8" s="10">
        <v>3</v>
      </c>
      <c r="K8" s="9">
        <v>5</v>
      </c>
      <c r="L8" s="10">
        <v>4</v>
      </c>
      <c r="M8" s="9">
        <v>2</v>
      </c>
      <c r="N8" s="10">
        <v>2</v>
      </c>
    </row>
    <row r="9" spans="2:14" x14ac:dyDescent="0.25">
      <c r="B9" s="7" t="s">
        <v>18</v>
      </c>
      <c r="C9" s="9">
        <v>2</v>
      </c>
      <c r="D9" s="10">
        <v>2</v>
      </c>
      <c r="E9" s="9">
        <v>5</v>
      </c>
      <c r="F9" s="10">
        <v>2</v>
      </c>
      <c r="G9" s="9">
        <v>2</v>
      </c>
      <c r="H9" s="10">
        <v>1</v>
      </c>
      <c r="I9" s="9">
        <v>6</v>
      </c>
      <c r="J9" s="10">
        <v>4</v>
      </c>
      <c r="K9" s="9">
        <v>5</v>
      </c>
      <c r="L9" s="10">
        <v>3</v>
      </c>
      <c r="M9" s="9">
        <v>2</v>
      </c>
      <c r="N9" s="10">
        <v>2</v>
      </c>
    </row>
    <row r="10" spans="2:14" x14ac:dyDescent="0.25">
      <c r="B10" s="6"/>
      <c r="C10" s="6"/>
      <c r="D10" s="6"/>
      <c r="E10" s="8"/>
      <c r="F10" s="8"/>
      <c r="G10" s="6"/>
      <c r="H10" s="6"/>
      <c r="I10" s="6"/>
      <c r="J10" s="6"/>
      <c r="K10" s="6"/>
      <c r="L10" s="6"/>
      <c r="M10" s="6"/>
      <c r="N10" s="6"/>
    </row>
    <row r="11" spans="2:14" x14ac:dyDescent="0.25">
      <c r="B11" s="15" t="s">
        <v>19</v>
      </c>
      <c r="C11" s="9">
        <v>73</v>
      </c>
      <c r="D11" s="10">
        <v>73</v>
      </c>
      <c r="E11" s="9">
        <v>147</v>
      </c>
      <c r="F11" s="10">
        <v>137</v>
      </c>
      <c r="G11" s="9">
        <v>46</v>
      </c>
      <c r="H11" s="10">
        <v>42</v>
      </c>
      <c r="I11" s="9">
        <v>34</v>
      </c>
      <c r="J11" s="10">
        <v>32</v>
      </c>
      <c r="K11" s="9">
        <v>32</v>
      </c>
      <c r="L11" s="10">
        <v>27</v>
      </c>
      <c r="M11" s="9">
        <v>40</v>
      </c>
      <c r="N11" s="10">
        <v>38</v>
      </c>
    </row>
    <row r="14" spans="2:14" ht="30" x14ac:dyDescent="0.25">
      <c r="D14" s="19" t="s">
        <v>21</v>
      </c>
      <c r="E14" s="19" t="s">
        <v>22</v>
      </c>
    </row>
    <row r="15" spans="2:14" x14ac:dyDescent="0.25">
      <c r="C15" t="s">
        <v>0</v>
      </c>
      <c r="D15" s="5">
        <f>C11</f>
        <v>73</v>
      </c>
      <c r="E15" s="5">
        <f>D11</f>
        <v>73</v>
      </c>
    </row>
    <row r="16" spans="2:14" x14ac:dyDescent="0.25">
      <c r="C16" t="s">
        <v>20</v>
      </c>
      <c r="D16" s="5">
        <f>E11</f>
        <v>147</v>
      </c>
      <c r="E16" s="5">
        <f>F11</f>
        <v>137</v>
      </c>
    </row>
    <row r="17" spans="3:5" x14ac:dyDescent="0.25">
      <c r="C17" t="s">
        <v>4</v>
      </c>
      <c r="D17" s="5">
        <f>G11</f>
        <v>46</v>
      </c>
      <c r="E17" s="5">
        <f>H11</f>
        <v>42</v>
      </c>
    </row>
    <row r="18" spans="3:5" x14ac:dyDescent="0.25">
      <c r="C18" t="s">
        <v>5</v>
      </c>
      <c r="D18" s="5">
        <f>I11</f>
        <v>34</v>
      </c>
      <c r="E18" s="5">
        <f>J11</f>
        <v>32</v>
      </c>
    </row>
    <row r="19" spans="3:5" x14ac:dyDescent="0.25">
      <c r="C19" t="s">
        <v>6</v>
      </c>
      <c r="D19" s="5">
        <f>K11</f>
        <v>32</v>
      </c>
      <c r="E19" s="5">
        <f>L11</f>
        <v>27</v>
      </c>
    </row>
    <row r="20" spans="3:5" x14ac:dyDescent="0.25">
      <c r="C20" t="s">
        <v>7</v>
      </c>
      <c r="D20" s="5">
        <f>M11</f>
        <v>40</v>
      </c>
      <c r="E20" s="5">
        <f>N11</f>
        <v>38</v>
      </c>
    </row>
    <row r="22" spans="3:5" x14ac:dyDescent="0.25">
      <c r="D22">
        <f>SUM(D15:D20)</f>
        <v>372</v>
      </c>
      <c r="E22">
        <f>SUM(E15:E20)</f>
        <v>349</v>
      </c>
    </row>
  </sheetData>
  <phoneticPr fontId="5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0FF6D-485A-4005-B3FA-A6C8896C90AD}">
  <dimension ref="A1:AA17"/>
  <sheetViews>
    <sheetView topLeftCell="A5" zoomScale="90" zoomScaleNormal="90" workbookViewId="0">
      <pane xSplit="1" topLeftCell="H1" activePane="topRight" state="frozen"/>
      <selection pane="topRight" activeCell="J37" sqref="J37"/>
    </sheetView>
  </sheetViews>
  <sheetFormatPr defaultRowHeight="15" x14ac:dyDescent="0.25"/>
  <cols>
    <col min="1" max="1" width="17.5703125" customWidth="1"/>
    <col min="2" max="2" width="12" customWidth="1"/>
    <col min="3" max="3" width="10" customWidth="1"/>
    <col min="4" max="4" width="12.42578125" customWidth="1"/>
    <col min="5" max="5" width="11.140625" customWidth="1"/>
    <col min="6" max="6" width="12.28515625" customWidth="1"/>
    <col min="7" max="7" width="12" customWidth="1"/>
    <col min="8" max="8" width="11.7109375" customWidth="1"/>
    <col min="9" max="9" width="10.5703125" customWidth="1"/>
    <col min="10" max="10" width="12.42578125" customWidth="1"/>
    <col min="11" max="11" width="9.85546875" customWidth="1"/>
    <col min="12" max="12" width="10.42578125" customWidth="1"/>
    <col min="13" max="13" width="11.5703125" customWidth="1"/>
    <col min="26" max="26" width="10.42578125" customWidth="1"/>
  </cols>
  <sheetData>
    <row r="1" spans="1:27" ht="15.75" thickBot="1" x14ac:dyDescent="0.3"/>
    <row r="2" spans="1:27" x14ac:dyDescent="0.25">
      <c r="A2" s="6"/>
      <c r="B2" s="20" t="s">
        <v>23</v>
      </c>
      <c r="C2" s="20" t="s">
        <v>23</v>
      </c>
      <c r="D2" s="20" t="s">
        <v>24</v>
      </c>
      <c r="E2" s="20" t="s">
        <v>24</v>
      </c>
      <c r="F2" s="21" t="s">
        <v>25</v>
      </c>
      <c r="G2" s="21" t="s">
        <v>25</v>
      </c>
      <c r="H2" s="21" t="s">
        <v>26</v>
      </c>
      <c r="I2" s="22" t="s">
        <v>26</v>
      </c>
      <c r="J2" s="21" t="s">
        <v>27</v>
      </c>
      <c r="K2" s="54" t="s">
        <v>27</v>
      </c>
      <c r="L2" s="25" t="s">
        <v>28</v>
      </c>
      <c r="M2" s="26" t="s">
        <v>28</v>
      </c>
      <c r="N2" s="25" t="s">
        <v>0</v>
      </c>
      <c r="O2" s="26" t="s">
        <v>42</v>
      </c>
      <c r="P2" s="25" t="s">
        <v>3</v>
      </c>
      <c r="Q2" s="26" t="s">
        <v>43</v>
      </c>
      <c r="R2" s="35" t="s">
        <v>4</v>
      </c>
      <c r="S2" s="36" t="s">
        <v>44</v>
      </c>
      <c r="T2" s="35" t="s">
        <v>5</v>
      </c>
      <c r="U2" s="36" t="s">
        <v>45</v>
      </c>
      <c r="V2" s="35" t="s">
        <v>6</v>
      </c>
      <c r="W2" s="36" t="s">
        <v>46</v>
      </c>
      <c r="X2" s="37" t="s">
        <v>7</v>
      </c>
      <c r="Y2" s="38" t="s">
        <v>47</v>
      </c>
      <c r="Z2" s="98" t="s">
        <v>29</v>
      </c>
      <c r="AA2" s="99"/>
    </row>
    <row r="3" spans="1:27" x14ac:dyDescent="0.25">
      <c r="A3" s="6"/>
      <c r="B3" s="13" t="s">
        <v>1</v>
      </c>
      <c r="C3" s="11" t="s">
        <v>2</v>
      </c>
      <c r="D3" s="13" t="s">
        <v>1</v>
      </c>
      <c r="E3" s="11" t="s">
        <v>2</v>
      </c>
      <c r="F3" s="13" t="s">
        <v>1</v>
      </c>
      <c r="G3" s="11" t="s">
        <v>2</v>
      </c>
      <c r="H3" s="13" t="s">
        <v>1</v>
      </c>
      <c r="I3" s="11" t="s">
        <v>2</v>
      </c>
      <c r="J3" s="13" t="s">
        <v>1</v>
      </c>
      <c r="K3" s="53" t="s">
        <v>2</v>
      </c>
      <c r="L3" s="27" t="s">
        <v>1</v>
      </c>
      <c r="M3" s="28" t="s">
        <v>2</v>
      </c>
      <c r="N3" s="27" t="s">
        <v>1</v>
      </c>
      <c r="O3" s="28" t="s">
        <v>2</v>
      </c>
      <c r="P3" s="33" t="s">
        <v>1</v>
      </c>
      <c r="Q3" s="34" t="s">
        <v>2</v>
      </c>
      <c r="R3" s="33" t="s">
        <v>1</v>
      </c>
      <c r="S3" s="34" t="s">
        <v>2</v>
      </c>
      <c r="T3" s="33" t="s">
        <v>1</v>
      </c>
      <c r="U3" s="34" t="s">
        <v>2</v>
      </c>
      <c r="V3" s="33" t="s">
        <v>1</v>
      </c>
      <c r="W3" s="34" t="s">
        <v>2</v>
      </c>
      <c r="X3" s="33" t="s">
        <v>1</v>
      </c>
      <c r="Y3" s="34" t="s">
        <v>2</v>
      </c>
      <c r="Z3" s="29" t="s">
        <v>1</v>
      </c>
      <c r="AA3" s="30" t="s">
        <v>2</v>
      </c>
    </row>
    <row r="4" spans="1:27" x14ac:dyDescent="0.25">
      <c r="A4" s="7" t="s">
        <v>14</v>
      </c>
      <c r="B4" s="9">
        <v>24</v>
      </c>
      <c r="C4" s="10">
        <v>22</v>
      </c>
      <c r="D4" s="9">
        <v>38</v>
      </c>
      <c r="E4" s="10">
        <v>32</v>
      </c>
      <c r="F4" s="9">
        <v>16</v>
      </c>
      <c r="G4" s="10">
        <v>15</v>
      </c>
      <c r="H4" s="9">
        <v>20</v>
      </c>
      <c r="I4" s="10">
        <v>20</v>
      </c>
      <c r="J4" s="9">
        <v>33</v>
      </c>
      <c r="K4" s="41">
        <v>31</v>
      </c>
      <c r="L4" s="29">
        <v>14</v>
      </c>
      <c r="M4" s="30">
        <v>10</v>
      </c>
      <c r="N4" s="29">
        <v>14</v>
      </c>
      <c r="O4" s="30">
        <v>14</v>
      </c>
      <c r="P4" s="29">
        <v>79</v>
      </c>
      <c r="Q4" s="30">
        <v>69</v>
      </c>
      <c r="R4" s="29">
        <v>65</v>
      </c>
      <c r="S4" s="30">
        <v>57</v>
      </c>
      <c r="T4" s="29">
        <v>44</v>
      </c>
      <c r="U4" s="30">
        <v>40</v>
      </c>
      <c r="V4" s="29">
        <v>15</v>
      </c>
      <c r="W4" s="30">
        <v>15</v>
      </c>
      <c r="X4" s="29">
        <v>51</v>
      </c>
      <c r="Y4" s="30">
        <v>41</v>
      </c>
      <c r="Z4" s="55">
        <f>SUM(B4,D4,F4,H4,J4,L4,N4,P4,R4,T4,V4,X4)</f>
        <v>413</v>
      </c>
      <c r="AA4" s="56">
        <f>SUM(C4,E4,G4,I4,K4,M4,O4,Q4,S4,U4,W4,Y4)</f>
        <v>366</v>
      </c>
    </row>
    <row r="5" spans="1:27" x14ac:dyDescent="0.25">
      <c r="A5" s="7" t="s">
        <v>15</v>
      </c>
      <c r="B5" s="9">
        <v>20</v>
      </c>
      <c r="C5" s="10">
        <v>18</v>
      </c>
      <c r="D5" s="9">
        <v>18</v>
      </c>
      <c r="E5" s="10">
        <v>18</v>
      </c>
      <c r="F5" s="9">
        <v>24</v>
      </c>
      <c r="G5" s="10">
        <v>24</v>
      </c>
      <c r="H5" s="9">
        <v>35</v>
      </c>
      <c r="I5" s="10">
        <v>29</v>
      </c>
      <c r="J5" s="9">
        <v>51</v>
      </c>
      <c r="K5" s="41">
        <v>48</v>
      </c>
      <c r="L5" s="29">
        <v>35</v>
      </c>
      <c r="M5" s="30">
        <v>31</v>
      </c>
      <c r="N5" s="29">
        <v>77</v>
      </c>
      <c r="O5" s="30">
        <v>69</v>
      </c>
      <c r="P5" s="29">
        <v>71</v>
      </c>
      <c r="Q5" s="30">
        <v>64</v>
      </c>
      <c r="R5" s="29">
        <v>52</v>
      </c>
      <c r="S5" s="30">
        <v>51</v>
      </c>
      <c r="T5" s="29">
        <v>32</v>
      </c>
      <c r="U5" s="30">
        <v>31</v>
      </c>
      <c r="V5" s="29">
        <v>70</v>
      </c>
      <c r="W5" s="30">
        <v>61</v>
      </c>
      <c r="X5" s="29">
        <v>24</v>
      </c>
      <c r="Y5" s="30">
        <v>23</v>
      </c>
      <c r="Z5" s="55">
        <f t="shared" ref="Z5:Z8" si="0">SUM(B5,D5,F5,H5,J5,L5,N5,P5,R5,T5,V5,X5)</f>
        <v>509</v>
      </c>
      <c r="AA5" s="56">
        <f t="shared" ref="AA5:AA8" si="1">SUM(C5,E5,G5,I5,K5,M5,O5,Q5,S5,U5,W5,Y5)</f>
        <v>467</v>
      </c>
    </row>
    <row r="6" spans="1:27" x14ac:dyDescent="0.25">
      <c r="A6" s="7" t="s">
        <v>16</v>
      </c>
      <c r="B6" s="9">
        <v>4</v>
      </c>
      <c r="C6" s="10">
        <v>3</v>
      </c>
      <c r="D6" s="9">
        <v>5</v>
      </c>
      <c r="E6" s="10">
        <v>5</v>
      </c>
      <c r="F6" s="9">
        <v>4</v>
      </c>
      <c r="G6" s="10">
        <v>4</v>
      </c>
      <c r="H6" s="9">
        <v>17</v>
      </c>
      <c r="I6" s="10">
        <v>17</v>
      </c>
      <c r="J6" s="9">
        <v>5</v>
      </c>
      <c r="K6" s="41">
        <v>4</v>
      </c>
      <c r="L6" s="29">
        <v>9</v>
      </c>
      <c r="M6" s="30">
        <v>9</v>
      </c>
      <c r="N6" s="29">
        <v>2</v>
      </c>
      <c r="O6" s="30">
        <v>2</v>
      </c>
      <c r="P6" s="29">
        <v>12</v>
      </c>
      <c r="Q6" s="30">
        <v>11</v>
      </c>
      <c r="R6" s="29">
        <v>12</v>
      </c>
      <c r="S6" s="30">
        <v>12</v>
      </c>
      <c r="T6" s="29">
        <v>5</v>
      </c>
      <c r="U6" s="30">
        <v>5</v>
      </c>
      <c r="V6" s="29">
        <v>10</v>
      </c>
      <c r="W6" s="30">
        <v>9</v>
      </c>
      <c r="X6" s="29">
        <v>3</v>
      </c>
      <c r="Y6" s="30">
        <v>3</v>
      </c>
      <c r="Z6" s="55">
        <f t="shared" si="0"/>
        <v>88</v>
      </c>
      <c r="AA6" s="56">
        <f t="shared" si="1"/>
        <v>84</v>
      </c>
    </row>
    <row r="7" spans="1:27" x14ac:dyDescent="0.25">
      <c r="A7" s="7" t="s">
        <v>17</v>
      </c>
      <c r="B7" s="9">
        <v>3</v>
      </c>
      <c r="C7" s="10">
        <v>3</v>
      </c>
      <c r="D7" s="9">
        <v>5</v>
      </c>
      <c r="E7" s="10">
        <v>5</v>
      </c>
      <c r="F7" s="9">
        <v>3</v>
      </c>
      <c r="G7" s="10">
        <v>3</v>
      </c>
      <c r="H7" s="9">
        <v>2</v>
      </c>
      <c r="I7" s="10">
        <v>2</v>
      </c>
      <c r="J7" s="9">
        <v>3</v>
      </c>
      <c r="K7" s="41">
        <v>3</v>
      </c>
      <c r="L7" s="29">
        <v>3</v>
      </c>
      <c r="M7" s="30">
        <v>3</v>
      </c>
      <c r="N7" s="29">
        <v>1</v>
      </c>
      <c r="O7" s="30">
        <v>1</v>
      </c>
      <c r="P7" s="29">
        <v>1</v>
      </c>
      <c r="Q7" s="30">
        <v>1</v>
      </c>
      <c r="R7" s="29">
        <v>188</v>
      </c>
      <c r="S7" s="30">
        <v>177</v>
      </c>
      <c r="T7" s="29">
        <v>8</v>
      </c>
      <c r="U7" s="30">
        <v>8</v>
      </c>
      <c r="V7" s="29">
        <v>2</v>
      </c>
      <c r="W7" s="30">
        <v>2</v>
      </c>
      <c r="X7" s="29">
        <v>1</v>
      </c>
      <c r="Y7" s="30">
        <v>1</v>
      </c>
      <c r="Z7" s="55">
        <f t="shared" si="0"/>
        <v>220</v>
      </c>
      <c r="AA7" s="56">
        <f t="shared" si="1"/>
        <v>209</v>
      </c>
    </row>
    <row r="8" spans="1:27" ht="15.75" thickBot="1" x14ac:dyDescent="0.3">
      <c r="A8" s="7" t="s">
        <v>30</v>
      </c>
      <c r="B8" s="9">
        <v>3</v>
      </c>
      <c r="C8" s="10">
        <v>2</v>
      </c>
      <c r="D8" s="9">
        <v>14</v>
      </c>
      <c r="E8" s="10">
        <v>10</v>
      </c>
      <c r="F8" s="9">
        <v>1</v>
      </c>
      <c r="G8" s="10">
        <v>1</v>
      </c>
      <c r="H8" s="9">
        <v>2</v>
      </c>
      <c r="I8" s="10">
        <v>1</v>
      </c>
      <c r="J8" s="9">
        <v>13</v>
      </c>
      <c r="K8" s="41">
        <v>12</v>
      </c>
      <c r="L8" s="31">
        <v>6</v>
      </c>
      <c r="M8" s="32">
        <v>5</v>
      </c>
      <c r="N8" s="31">
        <v>5</v>
      </c>
      <c r="O8" s="32">
        <v>2</v>
      </c>
      <c r="P8" s="31">
        <v>10</v>
      </c>
      <c r="Q8" s="32">
        <v>5</v>
      </c>
      <c r="R8" s="31">
        <v>23</v>
      </c>
      <c r="S8" s="32">
        <v>12</v>
      </c>
      <c r="T8" s="31">
        <v>2</v>
      </c>
      <c r="U8" s="32">
        <v>1</v>
      </c>
      <c r="V8" s="31">
        <v>0</v>
      </c>
      <c r="W8" s="32">
        <v>0</v>
      </c>
      <c r="X8" s="31">
        <v>2</v>
      </c>
      <c r="Y8" s="32">
        <v>1</v>
      </c>
      <c r="Z8" s="55">
        <f t="shared" si="0"/>
        <v>81</v>
      </c>
      <c r="AA8" s="56">
        <f t="shared" si="1"/>
        <v>52</v>
      </c>
    </row>
    <row r="9" spans="1:27" ht="15.75" thickBot="1" x14ac:dyDescent="0.3">
      <c r="A9" s="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6"/>
      <c r="O9" s="6"/>
      <c r="P9" s="8"/>
      <c r="Q9" s="8"/>
      <c r="R9" s="6"/>
      <c r="S9" s="6"/>
      <c r="T9" s="6"/>
      <c r="U9" s="6"/>
      <c r="V9" s="6"/>
      <c r="W9" s="6"/>
      <c r="X9" s="6"/>
      <c r="Y9" s="6"/>
    </row>
    <row r="10" spans="1:27" ht="15.75" thickBot="1" x14ac:dyDescent="0.3">
      <c r="A10" s="15" t="s">
        <v>19</v>
      </c>
      <c r="B10" s="9">
        <f>SUM(B4:B9)</f>
        <v>54</v>
      </c>
      <c r="C10" s="10">
        <f t="shared" ref="C10:M10" si="2">SUM(C4:C9)</f>
        <v>48</v>
      </c>
      <c r="D10" s="9">
        <f t="shared" si="2"/>
        <v>80</v>
      </c>
      <c r="E10" s="10">
        <f t="shared" si="2"/>
        <v>70</v>
      </c>
      <c r="F10" s="9">
        <f t="shared" si="2"/>
        <v>48</v>
      </c>
      <c r="G10" s="10">
        <f t="shared" si="2"/>
        <v>47</v>
      </c>
      <c r="H10" s="9">
        <f t="shared" si="2"/>
        <v>76</v>
      </c>
      <c r="I10" s="10">
        <f t="shared" si="2"/>
        <v>69</v>
      </c>
      <c r="J10" s="9">
        <f t="shared" si="2"/>
        <v>105</v>
      </c>
      <c r="K10" s="41">
        <f t="shared" si="2"/>
        <v>98</v>
      </c>
      <c r="L10" s="46">
        <f t="shared" si="2"/>
        <v>67</v>
      </c>
      <c r="M10" s="47">
        <f t="shared" si="2"/>
        <v>58</v>
      </c>
      <c r="N10" s="46">
        <f t="shared" ref="N10:U10" si="3">SUM(N4:N8)</f>
        <v>99</v>
      </c>
      <c r="O10" s="47">
        <f t="shared" si="3"/>
        <v>88</v>
      </c>
      <c r="P10" s="46">
        <f t="shared" si="3"/>
        <v>173</v>
      </c>
      <c r="Q10" s="47">
        <f t="shared" si="3"/>
        <v>150</v>
      </c>
      <c r="R10" s="46">
        <f t="shared" si="3"/>
        <v>340</v>
      </c>
      <c r="S10" s="47">
        <f t="shared" si="3"/>
        <v>309</v>
      </c>
      <c r="T10" s="46">
        <f t="shared" si="3"/>
        <v>91</v>
      </c>
      <c r="U10" s="47">
        <f t="shared" si="3"/>
        <v>85</v>
      </c>
      <c r="V10" s="46">
        <f t="shared" ref="V10:AA10" si="4">SUM(V4:V8)</f>
        <v>97</v>
      </c>
      <c r="W10" s="47">
        <f t="shared" si="4"/>
        <v>87</v>
      </c>
      <c r="X10" s="46">
        <f t="shared" si="4"/>
        <v>81</v>
      </c>
      <c r="Y10" s="47">
        <f t="shared" si="4"/>
        <v>69</v>
      </c>
      <c r="Z10" s="24">
        <f t="shared" si="4"/>
        <v>1311</v>
      </c>
      <c r="AA10" s="10">
        <f t="shared" si="4"/>
        <v>1178</v>
      </c>
    </row>
    <row r="13" spans="1:27" ht="23.25" x14ac:dyDescent="0.35">
      <c r="O13" s="4"/>
      <c r="S13" s="3"/>
    </row>
    <row r="14" spans="1:27" ht="20.25" x14ac:dyDescent="0.3">
      <c r="O14" s="1"/>
      <c r="P14" s="2"/>
    </row>
    <row r="15" spans="1:27" ht="18.75" x14ac:dyDescent="0.3">
      <c r="P15" s="2"/>
    </row>
    <row r="16" spans="1:27" ht="20.25" x14ac:dyDescent="0.3">
      <c r="O16" s="1"/>
      <c r="P16" s="2"/>
    </row>
    <row r="17" spans="16:16" ht="18.75" x14ac:dyDescent="0.3">
      <c r="P17" s="2"/>
    </row>
  </sheetData>
  <mergeCells count="1">
    <mergeCell ref="Z2:AA2"/>
  </mergeCells>
  <phoneticPr fontId="5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810A4-356C-4CCE-901C-2A061B89A31C}">
  <dimension ref="A1:AA28"/>
  <sheetViews>
    <sheetView topLeftCell="A13" workbookViewId="0">
      <selection activeCell="E29" sqref="E29"/>
    </sheetView>
  </sheetViews>
  <sheetFormatPr defaultRowHeight="15" x14ac:dyDescent="0.25"/>
  <cols>
    <col min="1" max="1" width="17.5703125" customWidth="1"/>
    <col min="2" max="2" width="12" customWidth="1"/>
    <col min="3" max="3" width="12.5703125" customWidth="1"/>
    <col min="4" max="4" width="12.42578125" customWidth="1"/>
    <col min="5" max="5" width="11.140625" customWidth="1"/>
    <col min="6" max="6" width="12.28515625" customWidth="1"/>
    <col min="7" max="7" width="12" customWidth="1"/>
    <col min="8" max="8" width="11.7109375" customWidth="1"/>
    <col min="9" max="9" width="10.5703125" customWidth="1"/>
    <col min="10" max="10" width="12.42578125" customWidth="1"/>
    <col min="11" max="11" width="9.85546875" customWidth="1"/>
    <col min="12" max="12" width="10.42578125" customWidth="1"/>
    <col min="13" max="13" width="11.5703125" customWidth="1"/>
    <col min="26" max="26" width="10.42578125" customWidth="1"/>
  </cols>
  <sheetData>
    <row r="1" spans="1:27" ht="15.75" thickBot="1" x14ac:dyDescent="0.3"/>
    <row r="2" spans="1:27" x14ac:dyDescent="0.25">
      <c r="A2" s="6"/>
      <c r="B2" s="20" t="s">
        <v>23</v>
      </c>
      <c r="C2" s="20"/>
      <c r="D2" s="20" t="s">
        <v>24</v>
      </c>
      <c r="E2" s="20"/>
      <c r="F2" s="21" t="s">
        <v>25</v>
      </c>
      <c r="G2" s="21"/>
      <c r="H2" s="21" t="s">
        <v>26</v>
      </c>
      <c r="I2" s="22"/>
      <c r="J2" s="21" t="s">
        <v>27</v>
      </c>
      <c r="K2" s="54"/>
      <c r="L2" s="25" t="s">
        <v>28</v>
      </c>
      <c r="M2" s="26"/>
      <c r="N2" s="25" t="s">
        <v>0</v>
      </c>
      <c r="O2" s="26"/>
      <c r="P2" s="25" t="s">
        <v>3</v>
      </c>
      <c r="Q2" s="26"/>
      <c r="R2" s="35" t="s">
        <v>4</v>
      </c>
      <c r="S2" s="36"/>
      <c r="T2" s="35" t="s">
        <v>5</v>
      </c>
      <c r="U2" s="36"/>
      <c r="V2" s="35" t="s">
        <v>6</v>
      </c>
      <c r="W2" s="36"/>
      <c r="X2" s="37" t="s">
        <v>7</v>
      </c>
      <c r="Y2" s="38"/>
      <c r="Z2" s="98" t="s">
        <v>29</v>
      </c>
      <c r="AA2" s="99"/>
    </row>
    <row r="3" spans="1:27" x14ac:dyDescent="0.25">
      <c r="A3" s="6"/>
      <c r="B3" s="13" t="s">
        <v>1</v>
      </c>
      <c r="C3" s="11" t="s">
        <v>2</v>
      </c>
      <c r="D3" s="13" t="s">
        <v>1</v>
      </c>
      <c r="E3" s="11" t="s">
        <v>2</v>
      </c>
      <c r="F3" s="13" t="s">
        <v>1</v>
      </c>
      <c r="G3" s="11" t="s">
        <v>2</v>
      </c>
      <c r="H3" s="13" t="s">
        <v>1</v>
      </c>
      <c r="I3" s="11" t="s">
        <v>2</v>
      </c>
      <c r="J3" s="13" t="s">
        <v>1</v>
      </c>
      <c r="K3" s="53" t="s">
        <v>2</v>
      </c>
      <c r="L3" s="27" t="s">
        <v>1</v>
      </c>
      <c r="M3" s="28" t="s">
        <v>2</v>
      </c>
      <c r="N3" s="27" t="s">
        <v>1</v>
      </c>
      <c r="O3" s="28" t="s">
        <v>2</v>
      </c>
      <c r="P3" s="33" t="s">
        <v>1</v>
      </c>
      <c r="Q3" s="34" t="s">
        <v>2</v>
      </c>
      <c r="R3" s="33" t="s">
        <v>1</v>
      </c>
      <c r="S3" s="34" t="s">
        <v>2</v>
      </c>
      <c r="T3" s="33" t="s">
        <v>1</v>
      </c>
      <c r="U3" s="34" t="s">
        <v>2</v>
      </c>
      <c r="V3" s="33" t="s">
        <v>1</v>
      </c>
      <c r="W3" s="34" t="s">
        <v>2</v>
      </c>
      <c r="X3" s="33" t="s">
        <v>1</v>
      </c>
      <c r="Y3" s="34" t="s">
        <v>2</v>
      </c>
      <c r="Z3" s="29" t="s">
        <v>1</v>
      </c>
      <c r="AA3" s="30" t="s">
        <v>2</v>
      </c>
    </row>
    <row r="4" spans="1:27" x14ac:dyDescent="0.25">
      <c r="A4" s="7" t="s">
        <v>14</v>
      </c>
      <c r="B4" s="9">
        <v>24</v>
      </c>
      <c r="C4" s="10">
        <v>22</v>
      </c>
      <c r="D4" s="9">
        <v>38</v>
      </c>
      <c r="E4" s="10">
        <v>32</v>
      </c>
      <c r="F4" s="9">
        <v>16</v>
      </c>
      <c r="G4" s="10">
        <v>15</v>
      </c>
      <c r="H4" s="9">
        <v>20</v>
      </c>
      <c r="I4" s="10">
        <v>20</v>
      </c>
      <c r="J4" s="9">
        <v>33</v>
      </c>
      <c r="K4" s="41">
        <v>31</v>
      </c>
      <c r="L4" s="29">
        <v>14</v>
      </c>
      <c r="M4" s="30">
        <v>10</v>
      </c>
      <c r="N4" s="29">
        <v>14</v>
      </c>
      <c r="O4" s="30">
        <v>14</v>
      </c>
      <c r="P4" s="29">
        <v>79</v>
      </c>
      <c r="Q4" s="30">
        <v>69</v>
      </c>
      <c r="R4" s="29">
        <v>65</v>
      </c>
      <c r="S4" s="30">
        <v>57</v>
      </c>
      <c r="T4" s="29">
        <v>44</v>
      </c>
      <c r="U4" s="30">
        <v>40</v>
      </c>
      <c r="V4" s="29">
        <v>15</v>
      </c>
      <c r="W4" s="30">
        <v>15</v>
      </c>
      <c r="X4" s="29">
        <v>51</v>
      </c>
      <c r="Y4" s="30">
        <v>41</v>
      </c>
      <c r="Z4" s="55">
        <f>SUM(B4,D4,F4,H4,J4,L4,N4,P4,R4,T4,V4,X4)</f>
        <v>413</v>
      </c>
      <c r="AA4" s="56">
        <f>SUM(C4,E4,G4,I4,K4,M4,O4,Q4,S4,U4,W4,Y4)</f>
        <v>366</v>
      </c>
    </row>
    <row r="5" spans="1:27" x14ac:dyDescent="0.25">
      <c r="A5" s="7" t="s">
        <v>15</v>
      </c>
      <c r="B5" s="9">
        <v>20</v>
      </c>
      <c r="C5" s="10">
        <v>18</v>
      </c>
      <c r="D5" s="9">
        <v>18</v>
      </c>
      <c r="E5" s="10">
        <v>18</v>
      </c>
      <c r="F5" s="9">
        <v>24</v>
      </c>
      <c r="G5" s="10">
        <v>24</v>
      </c>
      <c r="H5" s="9">
        <v>35</v>
      </c>
      <c r="I5" s="10">
        <v>29</v>
      </c>
      <c r="J5" s="9">
        <v>51</v>
      </c>
      <c r="K5" s="41">
        <v>48</v>
      </c>
      <c r="L5" s="29">
        <v>35</v>
      </c>
      <c r="M5" s="30">
        <v>31</v>
      </c>
      <c r="N5" s="29">
        <v>77</v>
      </c>
      <c r="O5" s="30">
        <v>69</v>
      </c>
      <c r="P5" s="29">
        <v>71</v>
      </c>
      <c r="Q5" s="30">
        <v>64</v>
      </c>
      <c r="R5" s="29">
        <v>52</v>
      </c>
      <c r="S5" s="30">
        <v>51</v>
      </c>
      <c r="T5" s="29">
        <v>32</v>
      </c>
      <c r="U5" s="30">
        <v>31</v>
      </c>
      <c r="V5" s="29">
        <v>70</v>
      </c>
      <c r="W5" s="30">
        <v>61</v>
      </c>
      <c r="X5" s="29">
        <v>24</v>
      </c>
      <c r="Y5" s="30">
        <v>23</v>
      </c>
      <c r="Z5" s="55">
        <f t="shared" ref="Z5:AA8" si="0">SUM(B5,D5,F5,H5,J5,L5,N5,P5,R5,T5,V5,X5)</f>
        <v>509</v>
      </c>
      <c r="AA5" s="56">
        <f t="shared" si="0"/>
        <v>467</v>
      </c>
    </row>
    <row r="6" spans="1:27" x14ac:dyDescent="0.25">
      <c r="A6" s="7" t="s">
        <v>16</v>
      </c>
      <c r="B6" s="9">
        <v>4</v>
      </c>
      <c r="C6" s="10">
        <v>3</v>
      </c>
      <c r="D6" s="9">
        <v>5</v>
      </c>
      <c r="E6" s="10">
        <v>5</v>
      </c>
      <c r="F6" s="9">
        <v>4</v>
      </c>
      <c r="G6" s="10">
        <v>4</v>
      </c>
      <c r="H6" s="9">
        <v>17</v>
      </c>
      <c r="I6" s="10">
        <v>17</v>
      </c>
      <c r="J6" s="9">
        <v>5</v>
      </c>
      <c r="K6" s="41">
        <v>4</v>
      </c>
      <c r="L6" s="29">
        <v>9</v>
      </c>
      <c r="M6" s="30">
        <v>9</v>
      </c>
      <c r="N6" s="29">
        <v>2</v>
      </c>
      <c r="O6" s="30">
        <v>2</v>
      </c>
      <c r="P6" s="29">
        <v>12</v>
      </c>
      <c r="Q6" s="30">
        <v>11</v>
      </c>
      <c r="R6" s="29">
        <v>12</v>
      </c>
      <c r="S6" s="30">
        <v>12</v>
      </c>
      <c r="T6" s="29">
        <v>5</v>
      </c>
      <c r="U6" s="30">
        <v>5</v>
      </c>
      <c r="V6" s="29">
        <v>10</v>
      </c>
      <c r="W6" s="30">
        <v>9</v>
      </c>
      <c r="X6" s="29">
        <v>3</v>
      </c>
      <c r="Y6" s="30">
        <v>3</v>
      </c>
      <c r="Z6" s="55">
        <f t="shared" si="0"/>
        <v>88</v>
      </c>
      <c r="AA6" s="56">
        <f t="shared" si="0"/>
        <v>84</v>
      </c>
    </row>
    <row r="7" spans="1:27" x14ac:dyDescent="0.25">
      <c r="A7" s="7" t="s">
        <v>17</v>
      </c>
      <c r="B7" s="9">
        <v>3</v>
      </c>
      <c r="C7" s="10">
        <v>3</v>
      </c>
      <c r="D7" s="9">
        <v>5</v>
      </c>
      <c r="E7" s="10">
        <v>5</v>
      </c>
      <c r="F7" s="9">
        <v>3</v>
      </c>
      <c r="G7" s="10">
        <v>3</v>
      </c>
      <c r="H7" s="9">
        <v>2</v>
      </c>
      <c r="I7" s="10">
        <v>2</v>
      </c>
      <c r="J7" s="9">
        <v>3</v>
      </c>
      <c r="K7" s="41">
        <v>3</v>
      </c>
      <c r="L7" s="29">
        <v>3</v>
      </c>
      <c r="M7" s="30">
        <v>3</v>
      </c>
      <c r="N7" s="29">
        <v>1</v>
      </c>
      <c r="O7" s="30">
        <v>1</v>
      </c>
      <c r="P7" s="29">
        <v>1</v>
      </c>
      <c r="Q7" s="30">
        <v>1</v>
      </c>
      <c r="R7" s="29">
        <v>188</v>
      </c>
      <c r="S7" s="30">
        <v>177</v>
      </c>
      <c r="T7" s="29">
        <v>8</v>
      </c>
      <c r="U7" s="30">
        <v>8</v>
      </c>
      <c r="V7" s="29">
        <v>2</v>
      </c>
      <c r="W7" s="30">
        <v>2</v>
      </c>
      <c r="X7" s="29">
        <v>1</v>
      </c>
      <c r="Y7" s="30">
        <v>1</v>
      </c>
      <c r="Z7" s="55">
        <f t="shared" si="0"/>
        <v>220</v>
      </c>
      <c r="AA7" s="56">
        <f t="shared" si="0"/>
        <v>209</v>
      </c>
    </row>
    <row r="8" spans="1:27" ht="15.75" thickBot="1" x14ac:dyDescent="0.3">
      <c r="A8" s="7" t="s">
        <v>18</v>
      </c>
      <c r="B8" s="9">
        <v>3</v>
      </c>
      <c r="C8" s="10">
        <v>2</v>
      </c>
      <c r="D8" s="9">
        <v>14</v>
      </c>
      <c r="E8" s="10">
        <v>10</v>
      </c>
      <c r="F8" s="9">
        <v>1</v>
      </c>
      <c r="G8" s="10">
        <v>1</v>
      </c>
      <c r="H8" s="9">
        <v>2</v>
      </c>
      <c r="I8" s="10">
        <v>1</v>
      </c>
      <c r="J8" s="9">
        <v>13</v>
      </c>
      <c r="K8" s="41">
        <v>12</v>
      </c>
      <c r="L8" s="31">
        <v>6</v>
      </c>
      <c r="M8" s="32">
        <v>5</v>
      </c>
      <c r="N8" s="31">
        <v>5</v>
      </c>
      <c r="O8" s="32">
        <v>2</v>
      </c>
      <c r="P8" s="31">
        <v>10</v>
      </c>
      <c r="Q8" s="32">
        <v>5</v>
      </c>
      <c r="R8" s="31">
        <v>23</v>
      </c>
      <c r="S8" s="32">
        <v>12</v>
      </c>
      <c r="T8" s="31">
        <v>2</v>
      </c>
      <c r="U8" s="32">
        <v>1</v>
      </c>
      <c r="V8" s="31">
        <v>0</v>
      </c>
      <c r="W8" s="32">
        <v>0</v>
      </c>
      <c r="X8" s="31">
        <v>2</v>
      </c>
      <c r="Y8" s="32">
        <v>1</v>
      </c>
      <c r="Z8" s="55">
        <f t="shared" si="0"/>
        <v>81</v>
      </c>
      <c r="AA8" s="56">
        <f t="shared" si="0"/>
        <v>52</v>
      </c>
    </row>
    <row r="9" spans="1:27" ht="15.75" thickBot="1" x14ac:dyDescent="0.3">
      <c r="A9" s="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6"/>
      <c r="O9" s="6"/>
      <c r="P9" s="8"/>
      <c r="Q9" s="8"/>
      <c r="R9" s="6"/>
      <c r="S9" s="6"/>
      <c r="T9" s="6"/>
      <c r="U9" s="6"/>
      <c r="V9" s="6"/>
      <c r="W9" s="6"/>
      <c r="X9" s="6"/>
      <c r="Y9" s="6"/>
    </row>
    <row r="10" spans="1:27" ht="15.75" thickBot="1" x14ac:dyDescent="0.3">
      <c r="A10" s="15" t="s">
        <v>19</v>
      </c>
      <c r="B10" s="9">
        <f>SUM(B4:B9)</f>
        <v>54</v>
      </c>
      <c r="C10" s="10">
        <f t="shared" ref="C10:M10" si="1">SUM(C4:C9)</f>
        <v>48</v>
      </c>
      <c r="D10" s="9">
        <f t="shared" si="1"/>
        <v>80</v>
      </c>
      <c r="E10" s="10">
        <f t="shared" si="1"/>
        <v>70</v>
      </c>
      <c r="F10" s="9">
        <f t="shared" si="1"/>
        <v>48</v>
      </c>
      <c r="G10" s="10">
        <f t="shared" si="1"/>
        <v>47</v>
      </c>
      <c r="H10" s="9">
        <f t="shared" si="1"/>
        <v>76</v>
      </c>
      <c r="I10" s="10">
        <f t="shared" si="1"/>
        <v>69</v>
      </c>
      <c r="J10" s="9">
        <f t="shared" si="1"/>
        <v>105</v>
      </c>
      <c r="K10" s="41">
        <f t="shared" si="1"/>
        <v>98</v>
      </c>
      <c r="L10" s="46">
        <f t="shared" si="1"/>
        <v>67</v>
      </c>
      <c r="M10" s="47">
        <f t="shared" si="1"/>
        <v>58</v>
      </c>
      <c r="N10" s="46">
        <f t="shared" ref="N10:U10" si="2">SUM(N4:N8)</f>
        <v>99</v>
      </c>
      <c r="O10" s="47">
        <f t="shared" si="2"/>
        <v>88</v>
      </c>
      <c r="P10" s="46">
        <f t="shared" si="2"/>
        <v>173</v>
      </c>
      <c r="Q10" s="47">
        <f t="shared" si="2"/>
        <v>150</v>
      </c>
      <c r="R10" s="46">
        <f t="shared" si="2"/>
        <v>340</v>
      </c>
      <c r="S10" s="47">
        <f t="shared" si="2"/>
        <v>309</v>
      </c>
      <c r="T10" s="46">
        <f t="shared" si="2"/>
        <v>91</v>
      </c>
      <c r="U10" s="47">
        <f t="shared" si="2"/>
        <v>85</v>
      </c>
      <c r="V10" s="46">
        <f t="shared" ref="V10:AA10" si="3">SUM(V4:V8)</f>
        <v>97</v>
      </c>
      <c r="W10" s="47">
        <f t="shared" si="3"/>
        <v>87</v>
      </c>
      <c r="X10" s="46">
        <f t="shared" si="3"/>
        <v>81</v>
      </c>
      <c r="Y10" s="47">
        <f t="shared" si="3"/>
        <v>69</v>
      </c>
      <c r="Z10" s="24">
        <f t="shared" si="3"/>
        <v>1311</v>
      </c>
      <c r="AA10" s="10">
        <f t="shared" si="3"/>
        <v>1178</v>
      </c>
    </row>
    <row r="13" spans="1:27" ht="23.25" x14ac:dyDescent="0.35">
      <c r="O13" s="4"/>
      <c r="S13" s="3"/>
    </row>
    <row r="14" spans="1:27" ht="30" x14ac:dyDescent="0.3">
      <c r="C14" s="19" t="s">
        <v>21</v>
      </c>
      <c r="D14" s="19" t="s">
        <v>22</v>
      </c>
      <c r="O14" s="1"/>
      <c r="P14" s="2"/>
    </row>
    <row r="15" spans="1:27" ht="20.25" x14ac:dyDescent="0.3">
      <c r="B15" t="s">
        <v>8</v>
      </c>
      <c r="C15" s="19">
        <f>B10</f>
        <v>54</v>
      </c>
      <c r="D15" s="19">
        <f>C10</f>
        <v>48</v>
      </c>
      <c r="O15" s="1"/>
      <c r="P15" s="2"/>
    </row>
    <row r="16" spans="1:27" ht="20.25" x14ac:dyDescent="0.3">
      <c r="B16" t="s">
        <v>9</v>
      </c>
      <c r="C16" s="19">
        <f>D10</f>
        <v>80</v>
      </c>
      <c r="D16" s="19">
        <f>E10</f>
        <v>70</v>
      </c>
      <c r="O16" s="1"/>
      <c r="P16" s="2"/>
    </row>
    <row r="17" spans="2:16" ht="20.25" x14ac:dyDescent="0.3">
      <c r="B17" t="s">
        <v>10</v>
      </c>
      <c r="C17" s="19">
        <f>F10</f>
        <v>48</v>
      </c>
      <c r="D17" s="19">
        <f>G10</f>
        <v>47</v>
      </c>
      <c r="O17" s="1"/>
      <c r="P17" s="2"/>
    </row>
    <row r="18" spans="2:16" ht="20.25" x14ac:dyDescent="0.3">
      <c r="B18" t="s">
        <v>11</v>
      </c>
      <c r="C18" s="19">
        <f>H10</f>
        <v>76</v>
      </c>
      <c r="D18" s="19">
        <f>I10</f>
        <v>69</v>
      </c>
      <c r="O18" s="1"/>
      <c r="P18" s="2"/>
    </row>
    <row r="19" spans="2:16" ht="20.25" x14ac:dyDescent="0.3">
      <c r="B19" t="s">
        <v>12</v>
      </c>
      <c r="C19" s="19">
        <f>J10</f>
        <v>105</v>
      </c>
      <c r="D19" s="19">
        <f>K10</f>
        <v>98</v>
      </c>
      <c r="O19" s="1"/>
      <c r="P19" s="2"/>
    </row>
    <row r="20" spans="2:16" ht="20.25" x14ac:dyDescent="0.3">
      <c r="B20" t="s">
        <v>13</v>
      </c>
      <c r="C20" s="19">
        <f>L10</f>
        <v>67</v>
      </c>
      <c r="D20" s="19">
        <f>M10</f>
        <v>58</v>
      </c>
      <c r="O20" s="1"/>
      <c r="P20" s="2"/>
    </row>
    <row r="21" spans="2:16" ht="18.75" x14ac:dyDescent="0.3">
      <c r="B21" t="s">
        <v>0</v>
      </c>
      <c r="C21" s="5">
        <f>N10</f>
        <v>99</v>
      </c>
      <c r="D21" s="5">
        <f>O10</f>
        <v>88</v>
      </c>
      <c r="P21" s="2"/>
    </row>
    <row r="22" spans="2:16" ht="20.25" x14ac:dyDescent="0.3">
      <c r="B22" t="s">
        <v>20</v>
      </c>
      <c r="C22" s="5">
        <f>P10</f>
        <v>173</v>
      </c>
      <c r="D22" s="5">
        <f>Q10</f>
        <v>150</v>
      </c>
      <c r="O22" s="1"/>
      <c r="P22" s="2"/>
    </row>
    <row r="23" spans="2:16" ht="18.75" x14ac:dyDescent="0.3">
      <c r="B23" t="s">
        <v>4</v>
      </c>
      <c r="C23" s="5">
        <f>R10</f>
        <v>340</v>
      </c>
      <c r="D23" s="5">
        <f>S10</f>
        <v>309</v>
      </c>
      <c r="P23" s="2"/>
    </row>
    <row r="24" spans="2:16" x14ac:dyDescent="0.25">
      <c r="B24" t="s">
        <v>5</v>
      </c>
      <c r="C24" s="5">
        <f>T10</f>
        <v>91</v>
      </c>
      <c r="D24" s="5">
        <f>U10</f>
        <v>85</v>
      </c>
    </row>
    <row r="25" spans="2:16" x14ac:dyDescent="0.25">
      <c r="B25" t="s">
        <v>6</v>
      </c>
      <c r="C25" s="5">
        <f>V10</f>
        <v>97</v>
      </c>
      <c r="D25" s="5">
        <f>W10</f>
        <v>87</v>
      </c>
    </row>
    <row r="26" spans="2:16" x14ac:dyDescent="0.25">
      <c r="B26" t="s">
        <v>7</v>
      </c>
      <c r="C26" s="5">
        <f>X10</f>
        <v>81</v>
      </c>
      <c r="D26" s="5">
        <f>Y10</f>
        <v>69</v>
      </c>
    </row>
    <row r="28" spans="2:16" x14ac:dyDescent="0.25">
      <c r="C28" s="5">
        <f>SUM(C15:C26)</f>
        <v>1311</v>
      </c>
      <c r="D28" s="5">
        <f>SUM(D15:D26)</f>
        <v>1178</v>
      </c>
    </row>
  </sheetData>
  <mergeCells count="1">
    <mergeCell ref="Z2:AA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61DD8-D55F-4029-A3C0-390AE1822459}">
  <dimension ref="A2:AA11"/>
  <sheetViews>
    <sheetView workbookViewId="0">
      <pane xSplit="1" topLeftCell="J1" activePane="topRight" state="frozen"/>
      <selection pane="topRight" activeCell="U14" sqref="U14"/>
    </sheetView>
  </sheetViews>
  <sheetFormatPr defaultRowHeight="15" x14ac:dyDescent="0.25"/>
  <cols>
    <col min="1" max="1" width="18.85546875" customWidth="1"/>
    <col min="2" max="2" width="13.5703125" customWidth="1"/>
  </cols>
  <sheetData>
    <row r="2" spans="1:27" ht="15.75" thickBot="1" x14ac:dyDescent="0.3"/>
    <row r="3" spans="1:27" x14ac:dyDescent="0.25">
      <c r="A3" s="6"/>
      <c r="B3" s="58" t="s">
        <v>23</v>
      </c>
      <c r="C3" s="59" t="s">
        <v>23</v>
      </c>
      <c r="D3" s="58" t="s">
        <v>24</v>
      </c>
      <c r="E3" s="59" t="s">
        <v>24</v>
      </c>
      <c r="F3" s="60" t="s">
        <v>25</v>
      </c>
      <c r="G3" s="61" t="s">
        <v>25</v>
      </c>
      <c r="H3" s="60" t="s">
        <v>26</v>
      </c>
      <c r="I3" s="62" t="s">
        <v>26</v>
      </c>
      <c r="J3" s="60" t="s">
        <v>27</v>
      </c>
      <c r="K3" s="61" t="s">
        <v>27</v>
      </c>
      <c r="L3" s="25" t="s">
        <v>28</v>
      </c>
      <c r="M3" s="26"/>
      <c r="N3" s="25" t="s">
        <v>0</v>
      </c>
      <c r="O3" s="26"/>
      <c r="P3" s="25" t="s">
        <v>3</v>
      </c>
      <c r="Q3" s="26"/>
      <c r="R3" s="35" t="s">
        <v>4</v>
      </c>
      <c r="S3" s="36"/>
      <c r="T3" s="35" t="s">
        <v>5</v>
      </c>
      <c r="U3" s="36"/>
      <c r="V3" s="35" t="s">
        <v>6</v>
      </c>
      <c r="W3" s="36"/>
      <c r="X3" s="37" t="s">
        <v>7</v>
      </c>
      <c r="Y3" s="38"/>
      <c r="Z3" s="98" t="s">
        <v>29</v>
      </c>
      <c r="AA3" s="99"/>
    </row>
    <row r="4" spans="1:27" x14ac:dyDescent="0.25">
      <c r="A4" s="23" t="s">
        <v>31</v>
      </c>
      <c r="B4" s="27"/>
      <c r="C4" s="28" t="s">
        <v>37</v>
      </c>
      <c r="D4" s="27" t="s">
        <v>1</v>
      </c>
      <c r="E4" s="28" t="s">
        <v>2</v>
      </c>
      <c r="F4" s="27" t="s">
        <v>1</v>
      </c>
      <c r="G4" s="28" t="s">
        <v>2</v>
      </c>
      <c r="H4" s="27" t="s">
        <v>1</v>
      </c>
      <c r="I4" s="28" t="s">
        <v>2</v>
      </c>
      <c r="J4" s="27" t="s">
        <v>1</v>
      </c>
      <c r="K4" s="28" t="s">
        <v>2</v>
      </c>
      <c r="L4" s="27" t="s">
        <v>1</v>
      </c>
      <c r="M4" s="28" t="s">
        <v>2</v>
      </c>
      <c r="N4" s="27" t="s">
        <v>1</v>
      </c>
      <c r="O4" s="28" t="s">
        <v>2</v>
      </c>
      <c r="P4" s="33" t="s">
        <v>1</v>
      </c>
      <c r="Q4" s="34" t="s">
        <v>2</v>
      </c>
      <c r="R4" s="33" t="s">
        <v>1</v>
      </c>
      <c r="S4" s="34" t="s">
        <v>38</v>
      </c>
      <c r="T4" s="33" t="s">
        <v>1</v>
      </c>
      <c r="U4" s="34" t="s">
        <v>38</v>
      </c>
      <c r="V4" s="33" t="s">
        <v>1</v>
      </c>
      <c r="W4" s="34" t="s">
        <v>38</v>
      </c>
      <c r="X4" s="33" t="s">
        <v>1</v>
      </c>
      <c r="Y4" s="34" t="s">
        <v>38</v>
      </c>
      <c r="Z4" s="29" t="s">
        <v>1</v>
      </c>
      <c r="AA4" s="30" t="s">
        <v>2</v>
      </c>
    </row>
    <row r="5" spans="1:27" x14ac:dyDescent="0.25">
      <c r="A5" s="23" t="s">
        <v>34</v>
      </c>
      <c r="B5" s="29"/>
      <c r="C5" s="30"/>
      <c r="D5" s="29"/>
      <c r="E5" s="30"/>
      <c r="F5" s="29"/>
      <c r="G5" s="30"/>
      <c r="H5" s="29"/>
      <c r="I5" s="30"/>
      <c r="J5" s="29"/>
      <c r="K5" s="30"/>
      <c r="L5" s="29"/>
      <c r="M5" s="30"/>
      <c r="N5" s="29"/>
      <c r="O5" s="30"/>
      <c r="P5" s="29"/>
      <c r="Q5" s="30"/>
      <c r="R5" s="29"/>
      <c r="S5" s="30"/>
      <c r="T5" s="29">
        <f>24+17+5+12</f>
        <v>58</v>
      </c>
      <c r="U5" s="30">
        <f>T5*300</f>
        <v>17400</v>
      </c>
      <c r="V5" s="29">
        <f>46+15+4+12</f>
        <v>77</v>
      </c>
      <c r="W5" s="30">
        <f>V5*300</f>
        <v>23100</v>
      </c>
      <c r="X5" s="29">
        <f>18+32+17+12</f>
        <v>79</v>
      </c>
      <c r="Y5" s="30">
        <f>X5*300</f>
        <v>23700</v>
      </c>
      <c r="Z5" s="55">
        <f>SUM(B5,D5,F5,H5,J5,L5,N5,P5,R5,T5,V5,X5)</f>
        <v>214</v>
      </c>
      <c r="AA5" s="56">
        <f>SUM(C5,E5,G5,I5,K5,M5,O5,Q5,S5,U5,W5,Y5)</f>
        <v>64200</v>
      </c>
    </row>
    <row r="6" spans="1:27" x14ac:dyDescent="0.25">
      <c r="A6" s="23" t="s">
        <v>35</v>
      </c>
      <c r="B6" s="29"/>
      <c r="C6" s="30"/>
      <c r="D6" s="29"/>
      <c r="E6" s="30"/>
      <c r="F6" s="29"/>
      <c r="G6" s="30"/>
      <c r="H6" s="29"/>
      <c r="I6" s="30"/>
      <c r="J6" s="29"/>
      <c r="K6" s="30"/>
      <c r="L6" s="29"/>
      <c r="M6" s="30"/>
      <c r="N6" s="29"/>
      <c r="O6" s="30"/>
      <c r="P6" s="29"/>
      <c r="Q6" s="30"/>
      <c r="R6" s="29"/>
      <c r="S6" s="30"/>
      <c r="T6" s="29">
        <f>19+15+5+11</f>
        <v>50</v>
      </c>
      <c r="U6" s="30">
        <f>T6*1000</f>
        <v>50000</v>
      </c>
      <c r="V6" s="29">
        <f>36+13+3+11</f>
        <v>63</v>
      </c>
      <c r="W6" s="30">
        <f>V6*1000</f>
        <v>63000</v>
      </c>
      <c r="X6" s="29">
        <f>8+40+10+11</f>
        <v>69</v>
      </c>
      <c r="Y6" s="30">
        <f>X6*1000</f>
        <v>69000</v>
      </c>
      <c r="Z6" s="55">
        <f t="shared" ref="Z6:AA9" si="0">SUM(B6,D6,F6,H6,J6,L6,N6,P6,R6,T6,V6,X6)</f>
        <v>182</v>
      </c>
      <c r="AA6" s="56">
        <f t="shared" si="0"/>
        <v>182000</v>
      </c>
    </row>
    <row r="7" spans="1:27" ht="30" x14ac:dyDescent="0.25">
      <c r="A7" s="57" t="s">
        <v>36</v>
      </c>
      <c r="B7" s="29"/>
      <c r="C7" s="30"/>
      <c r="D7" s="29"/>
      <c r="E7" s="30"/>
      <c r="F7" s="29"/>
      <c r="G7" s="30"/>
      <c r="H7" s="29"/>
      <c r="I7" s="30"/>
      <c r="J7" s="29"/>
      <c r="K7" s="30"/>
      <c r="L7" s="29"/>
      <c r="M7" s="30"/>
      <c r="N7" s="29"/>
      <c r="O7" s="30"/>
      <c r="P7" s="29"/>
      <c r="Q7" s="30"/>
      <c r="R7" s="29"/>
      <c r="S7" s="30"/>
      <c r="T7" s="29">
        <v>0</v>
      </c>
      <c r="U7" s="30">
        <f>T7*1000</f>
        <v>0</v>
      </c>
      <c r="V7" s="29">
        <v>5</v>
      </c>
      <c r="W7" s="30">
        <f>V7*1000</f>
        <v>5000</v>
      </c>
      <c r="X7" s="29">
        <v>0</v>
      </c>
      <c r="Y7" s="30">
        <f>0*1000</f>
        <v>0</v>
      </c>
      <c r="Z7" s="55">
        <f t="shared" si="0"/>
        <v>5</v>
      </c>
      <c r="AA7" s="56">
        <f t="shared" si="0"/>
        <v>5000</v>
      </c>
    </row>
    <row r="8" spans="1:27" x14ac:dyDescent="0.25">
      <c r="A8" s="23" t="s">
        <v>32</v>
      </c>
      <c r="B8" s="29"/>
      <c r="C8" s="30"/>
      <c r="D8" s="29"/>
      <c r="E8" s="30"/>
      <c r="F8" s="29"/>
      <c r="G8" s="30"/>
      <c r="H8" s="29"/>
      <c r="I8" s="30"/>
      <c r="J8" s="29"/>
      <c r="K8" s="30"/>
      <c r="L8" s="29"/>
      <c r="M8" s="30"/>
      <c r="N8" s="29"/>
      <c r="O8" s="30"/>
      <c r="P8" s="29"/>
      <c r="Q8" s="30"/>
      <c r="R8" s="29"/>
      <c r="S8" s="30"/>
      <c r="T8" s="29">
        <f>1+1+5+12</f>
        <v>19</v>
      </c>
      <c r="U8" s="30">
        <f>T8*600</f>
        <v>11400</v>
      </c>
      <c r="V8" s="29">
        <f>11+1+12</f>
        <v>24</v>
      </c>
      <c r="W8" s="30">
        <f>V8*600</f>
        <v>14400</v>
      </c>
      <c r="X8" s="29">
        <f>2+2+12</f>
        <v>16</v>
      </c>
      <c r="Y8" s="30">
        <f>X8*600</f>
        <v>9600</v>
      </c>
      <c r="Z8" s="55">
        <f t="shared" si="0"/>
        <v>59</v>
      </c>
      <c r="AA8" s="56">
        <f t="shared" si="0"/>
        <v>35400</v>
      </c>
    </row>
    <row r="9" spans="1:27" ht="45.75" thickBot="1" x14ac:dyDescent="0.3">
      <c r="A9" s="57" t="s">
        <v>33</v>
      </c>
      <c r="B9" s="31"/>
      <c r="C9" s="32"/>
      <c r="D9" s="31"/>
      <c r="E9" s="32"/>
      <c r="F9" s="31"/>
      <c r="G9" s="32"/>
      <c r="H9" s="31"/>
      <c r="I9" s="32"/>
      <c r="J9" s="31"/>
      <c r="K9" s="32"/>
      <c r="L9" s="31"/>
      <c r="M9" s="32"/>
      <c r="N9" s="31"/>
      <c r="O9" s="32"/>
      <c r="P9" s="31"/>
      <c r="Q9" s="32"/>
      <c r="R9" s="31"/>
      <c r="S9" s="32"/>
      <c r="T9" s="31">
        <f>2.5+1.5+1</f>
        <v>5</v>
      </c>
      <c r="U9" s="32">
        <f>T9*1000</f>
        <v>5000</v>
      </c>
      <c r="V9" s="31">
        <f>2.5+3+0.5+1</f>
        <v>7</v>
      </c>
      <c r="W9" s="32">
        <f>V9*1000</f>
        <v>7000</v>
      </c>
      <c r="X9" s="31">
        <f>1+1+3+1</f>
        <v>6</v>
      </c>
      <c r="Y9" s="32">
        <f>X9*1000</f>
        <v>6000</v>
      </c>
      <c r="Z9" s="55">
        <f t="shared" si="0"/>
        <v>18</v>
      </c>
      <c r="AA9" s="56">
        <f t="shared" si="0"/>
        <v>18000</v>
      </c>
    </row>
    <row r="10" spans="1:27" ht="15.75" thickBot="1" x14ac:dyDescent="0.3">
      <c r="A10" s="6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6"/>
      <c r="O10" s="6"/>
      <c r="P10" s="8"/>
      <c r="Q10" s="8"/>
      <c r="R10" s="6"/>
      <c r="S10" s="6"/>
      <c r="T10" s="6"/>
      <c r="U10" s="6"/>
      <c r="V10" s="6"/>
      <c r="W10" s="6"/>
      <c r="X10" s="6"/>
      <c r="Y10" s="6"/>
    </row>
    <row r="11" spans="1:27" ht="15.75" thickBot="1" x14ac:dyDescent="0.3">
      <c r="A11" s="45" t="s">
        <v>19</v>
      </c>
      <c r="B11" s="46">
        <f>SUM(B5:B10)</f>
        <v>0</v>
      </c>
      <c r="C11" s="47">
        <f t="shared" ref="C11" si="1">SUM(C5:C10)</f>
        <v>0</v>
      </c>
      <c r="D11" s="46"/>
      <c r="E11" s="47"/>
      <c r="F11" s="46"/>
      <c r="G11" s="47"/>
      <c r="H11" s="46"/>
      <c r="I11" s="47"/>
      <c r="J11" s="46"/>
      <c r="K11" s="47"/>
      <c r="L11" s="46"/>
      <c r="M11" s="47"/>
      <c r="N11" s="46"/>
      <c r="O11" s="47"/>
      <c r="P11" s="46"/>
      <c r="Q11" s="47"/>
      <c r="R11" s="46"/>
      <c r="S11" s="47"/>
      <c r="T11" s="46">
        <f t="shared" ref="T11:Y11" si="2">SUM(T5:T9)</f>
        <v>132</v>
      </c>
      <c r="U11" s="47">
        <f t="shared" si="2"/>
        <v>83800</v>
      </c>
      <c r="V11" s="46">
        <f t="shared" si="2"/>
        <v>176</v>
      </c>
      <c r="W11" s="47">
        <f t="shared" si="2"/>
        <v>112500</v>
      </c>
      <c r="X11" s="46">
        <f t="shared" si="2"/>
        <v>170</v>
      </c>
      <c r="Y11" s="46">
        <f t="shared" si="2"/>
        <v>108300</v>
      </c>
      <c r="Z11" s="24">
        <f t="shared" ref="Z11:AA11" si="3">SUM(Z5:Z9)</f>
        <v>478</v>
      </c>
      <c r="AA11" s="10">
        <f t="shared" si="3"/>
        <v>304600</v>
      </c>
    </row>
  </sheetData>
  <mergeCells count="1">
    <mergeCell ref="Z3:AA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EDC6C-C614-4DEA-9BE6-3EF4F9BB9D01}">
  <dimension ref="A1:AA17"/>
  <sheetViews>
    <sheetView zoomScale="80" zoomScaleNormal="80" workbookViewId="0">
      <pane xSplit="1" topLeftCell="B1" activePane="topRight" state="frozen"/>
      <selection pane="topRight" activeCell="Z16" sqref="Z16"/>
    </sheetView>
  </sheetViews>
  <sheetFormatPr defaultRowHeight="15" x14ac:dyDescent="0.25"/>
  <cols>
    <col min="1" max="1" width="17.5703125" customWidth="1"/>
    <col min="2" max="2" width="12" customWidth="1"/>
    <col min="3" max="3" width="10" customWidth="1"/>
    <col min="4" max="4" width="12.42578125" customWidth="1"/>
    <col min="5" max="5" width="11.140625" customWidth="1"/>
    <col min="6" max="6" width="12.28515625" customWidth="1"/>
    <col min="7" max="7" width="12" customWidth="1"/>
    <col min="8" max="8" width="11.7109375" customWidth="1"/>
    <col min="9" max="9" width="10.5703125" customWidth="1"/>
    <col min="10" max="10" width="12.42578125" customWidth="1"/>
    <col min="11" max="11" width="9.85546875" customWidth="1"/>
    <col min="12" max="12" width="10.42578125" customWidth="1"/>
    <col min="13" max="13" width="11.5703125" customWidth="1"/>
    <col min="26" max="26" width="10.42578125" customWidth="1"/>
  </cols>
  <sheetData>
    <row r="1" spans="1:27" ht="15.75" thickBot="1" x14ac:dyDescent="0.3"/>
    <row r="2" spans="1:27" x14ac:dyDescent="0.25">
      <c r="A2" s="6"/>
      <c r="B2" s="20" t="s">
        <v>23</v>
      </c>
      <c r="C2" s="20" t="s">
        <v>23</v>
      </c>
      <c r="D2" s="20" t="s">
        <v>24</v>
      </c>
      <c r="E2" s="20" t="s">
        <v>24</v>
      </c>
      <c r="F2" s="21" t="s">
        <v>25</v>
      </c>
      <c r="G2" s="21" t="s">
        <v>25</v>
      </c>
      <c r="H2" s="21" t="s">
        <v>26</v>
      </c>
      <c r="I2" s="22" t="s">
        <v>26</v>
      </c>
      <c r="J2" s="21" t="s">
        <v>27</v>
      </c>
      <c r="K2" s="54" t="s">
        <v>27</v>
      </c>
      <c r="L2" s="25" t="s">
        <v>28</v>
      </c>
      <c r="M2" s="26" t="s">
        <v>28</v>
      </c>
      <c r="N2" s="25" t="s">
        <v>42</v>
      </c>
      <c r="O2" s="26" t="s">
        <v>42</v>
      </c>
      <c r="P2" s="25" t="s">
        <v>3</v>
      </c>
      <c r="Q2" s="26" t="s">
        <v>3</v>
      </c>
      <c r="R2" s="35" t="s">
        <v>4</v>
      </c>
      <c r="S2" s="36" t="s">
        <v>4</v>
      </c>
      <c r="T2" s="35" t="s">
        <v>5</v>
      </c>
      <c r="U2" s="36" t="s">
        <v>5</v>
      </c>
      <c r="V2" s="35" t="s">
        <v>6</v>
      </c>
      <c r="W2" s="36" t="s">
        <v>6</v>
      </c>
      <c r="X2" s="37" t="s">
        <v>7</v>
      </c>
      <c r="Y2" s="38" t="s">
        <v>7</v>
      </c>
      <c r="Z2" s="98" t="s">
        <v>29</v>
      </c>
      <c r="AA2" s="99"/>
    </row>
    <row r="3" spans="1:27" x14ac:dyDescent="0.25">
      <c r="A3" s="6"/>
      <c r="B3" s="13" t="s">
        <v>1</v>
      </c>
      <c r="C3" s="11" t="s">
        <v>2</v>
      </c>
      <c r="D3" s="13" t="s">
        <v>1</v>
      </c>
      <c r="E3" s="11" t="s">
        <v>2</v>
      </c>
      <c r="F3" s="13" t="s">
        <v>1</v>
      </c>
      <c r="G3" s="11" t="s">
        <v>2</v>
      </c>
      <c r="H3" s="13" t="s">
        <v>1</v>
      </c>
      <c r="I3" s="11" t="s">
        <v>2</v>
      </c>
      <c r="J3" s="13" t="s">
        <v>1</v>
      </c>
      <c r="K3" s="53" t="s">
        <v>2</v>
      </c>
      <c r="L3" s="27" t="s">
        <v>1</v>
      </c>
      <c r="M3" s="28" t="s">
        <v>2</v>
      </c>
      <c r="N3" s="27" t="s">
        <v>1</v>
      </c>
      <c r="O3" s="28" t="s">
        <v>2</v>
      </c>
      <c r="P3" s="33" t="s">
        <v>1</v>
      </c>
      <c r="Q3" s="34" t="s">
        <v>2</v>
      </c>
      <c r="R3" s="33" t="s">
        <v>1</v>
      </c>
      <c r="S3" s="34" t="s">
        <v>2</v>
      </c>
      <c r="T3" s="33" t="s">
        <v>1</v>
      </c>
      <c r="U3" s="34" t="s">
        <v>2</v>
      </c>
      <c r="V3" s="33" t="s">
        <v>1</v>
      </c>
      <c r="W3" s="34" t="s">
        <v>2</v>
      </c>
      <c r="X3" s="33" t="s">
        <v>1</v>
      </c>
      <c r="Y3" s="34" t="s">
        <v>2</v>
      </c>
      <c r="Z3" s="29" t="s">
        <v>1</v>
      </c>
      <c r="AA3" s="30" t="s">
        <v>2</v>
      </c>
    </row>
    <row r="4" spans="1:27" x14ac:dyDescent="0.25">
      <c r="A4" s="7" t="s">
        <v>14</v>
      </c>
      <c r="B4" s="9">
        <v>66</v>
      </c>
      <c r="C4" s="10">
        <v>58</v>
      </c>
      <c r="D4" s="9">
        <v>22</v>
      </c>
      <c r="E4" s="10">
        <v>19</v>
      </c>
      <c r="F4" s="9">
        <v>29</v>
      </c>
      <c r="G4" s="10">
        <v>27</v>
      </c>
      <c r="H4" s="9">
        <v>23</v>
      </c>
      <c r="I4" s="10">
        <v>21</v>
      </c>
      <c r="J4" s="9">
        <v>17</v>
      </c>
      <c r="K4" s="41">
        <v>17</v>
      </c>
      <c r="L4" s="29">
        <v>13</v>
      </c>
      <c r="M4" s="30">
        <v>12</v>
      </c>
      <c r="N4" s="29">
        <v>10</v>
      </c>
      <c r="O4" s="30">
        <v>10</v>
      </c>
      <c r="P4" s="29">
        <v>16</v>
      </c>
      <c r="Q4" s="30">
        <v>13</v>
      </c>
      <c r="R4" s="29">
        <v>11</v>
      </c>
      <c r="S4" s="30">
        <v>10</v>
      </c>
      <c r="T4" s="29">
        <v>7</v>
      </c>
      <c r="U4" s="30">
        <v>7</v>
      </c>
      <c r="V4" s="29">
        <v>20</v>
      </c>
      <c r="W4" s="30">
        <v>19</v>
      </c>
      <c r="X4" s="29">
        <v>12</v>
      </c>
      <c r="Y4" s="30">
        <v>11</v>
      </c>
      <c r="Z4" s="55">
        <f>SUM(B4,D4,F4,H4,J4,L4,N4,P4,R4,T4,V4,X4)</f>
        <v>246</v>
      </c>
      <c r="AA4" s="56">
        <f>SUM(C4,E4,G4,I4,K4,M4,O4,Q4,S4,U4,W4,Y4)</f>
        <v>224</v>
      </c>
    </row>
    <row r="5" spans="1:27" x14ac:dyDescent="0.25">
      <c r="A5" s="7" t="s">
        <v>15</v>
      </c>
      <c r="B5" s="9">
        <v>36</v>
      </c>
      <c r="C5" s="10">
        <v>35</v>
      </c>
      <c r="D5" s="9">
        <v>44</v>
      </c>
      <c r="E5" s="10">
        <v>43</v>
      </c>
      <c r="F5" s="9">
        <v>32</v>
      </c>
      <c r="G5" s="10">
        <v>32</v>
      </c>
      <c r="H5" s="9">
        <v>33</v>
      </c>
      <c r="I5" s="10">
        <v>32</v>
      </c>
      <c r="J5" s="9">
        <v>31</v>
      </c>
      <c r="K5" s="41">
        <v>31</v>
      </c>
      <c r="L5" s="29">
        <v>25</v>
      </c>
      <c r="M5" s="30">
        <v>25</v>
      </c>
      <c r="N5" s="29">
        <v>48</v>
      </c>
      <c r="O5" s="30">
        <v>48</v>
      </c>
      <c r="P5" s="29">
        <v>83</v>
      </c>
      <c r="Q5" s="30">
        <v>81</v>
      </c>
      <c r="R5" s="29">
        <v>25</v>
      </c>
      <c r="S5" s="30">
        <v>22</v>
      </c>
      <c r="T5" s="29">
        <v>44</v>
      </c>
      <c r="U5" s="30">
        <v>42</v>
      </c>
      <c r="V5" s="29">
        <v>32</v>
      </c>
      <c r="W5" s="30">
        <v>31</v>
      </c>
      <c r="X5" s="29">
        <v>13</v>
      </c>
      <c r="Y5" s="30">
        <v>12</v>
      </c>
      <c r="Z5" s="55">
        <f t="shared" ref="Z5:AA8" si="0">SUM(B5,D5,F5,H5,J5,L5,N5,P5,R5,T5,V5,X5)</f>
        <v>446</v>
      </c>
      <c r="AA5" s="56">
        <f t="shared" si="0"/>
        <v>434</v>
      </c>
    </row>
    <row r="6" spans="1:27" x14ac:dyDescent="0.25">
      <c r="A6" s="7" t="s">
        <v>16</v>
      </c>
      <c r="B6" s="9">
        <v>1</v>
      </c>
      <c r="C6" s="10">
        <v>1</v>
      </c>
      <c r="D6" s="9">
        <v>4</v>
      </c>
      <c r="E6" s="10">
        <v>4</v>
      </c>
      <c r="F6" s="9">
        <v>10</v>
      </c>
      <c r="G6" s="10">
        <v>8</v>
      </c>
      <c r="H6" s="9">
        <v>4</v>
      </c>
      <c r="I6" s="10">
        <v>4</v>
      </c>
      <c r="J6" s="9">
        <v>4</v>
      </c>
      <c r="K6" s="41">
        <v>4</v>
      </c>
      <c r="L6" s="29">
        <v>1</v>
      </c>
      <c r="M6" s="30">
        <v>1</v>
      </c>
      <c r="N6" s="29">
        <v>1</v>
      </c>
      <c r="O6" s="30">
        <v>1</v>
      </c>
      <c r="P6" s="29">
        <v>0</v>
      </c>
      <c r="Q6" s="30">
        <v>0</v>
      </c>
      <c r="R6" s="29">
        <v>8</v>
      </c>
      <c r="S6" s="30">
        <v>8</v>
      </c>
      <c r="T6" s="29">
        <v>5</v>
      </c>
      <c r="U6" s="30">
        <v>5</v>
      </c>
      <c r="V6" s="29">
        <v>4</v>
      </c>
      <c r="W6" s="30">
        <v>4</v>
      </c>
      <c r="X6" s="29">
        <v>2</v>
      </c>
      <c r="Y6" s="30">
        <v>1</v>
      </c>
      <c r="Z6" s="55">
        <f t="shared" si="0"/>
        <v>44</v>
      </c>
      <c r="AA6" s="56">
        <f t="shared" si="0"/>
        <v>41</v>
      </c>
    </row>
    <row r="7" spans="1:27" x14ac:dyDescent="0.25">
      <c r="A7" s="7" t="s">
        <v>17</v>
      </c>
      <c r="B7" s="9">
        <v>2</v>
      </c>
      <c r="C7" s="10">
        <v>2</v>
      </c>
      <c r="D7" s="9">
        <v>6</v>
      </c>
      <c r="E7" s="10">
        <v>6</v>
      </c>
      <c r="F7" s="9">
        <v>7</v>
      </c>
      <c r="G7" s="10">
        <v>5</v>
      </c>
      <c r="H7" s="9">
        <v>7</v>
      </c>
      <c r="I7" s="10">
        <v>7</v>
      </c>
      <c r="J7" s="9">
        <v>2</v>
      </c>
      <c r="K7" s="41">
        <v>2</v>
      </c>
      <c r="L7" s="29">
        <v>4</v>
      </c>
      <c r="M7" s="30">
        <v>4</v>
      </c>
      <c r="N7" s="29">
        <v>3</v>
      </c>
      <c r="O7" s="30">
        <v>3</v>
      </c>
      <c r="P7" s="29">
        <v>4</v>
      </c>
      <c r="Q7" s="30">
        <v>2</v>
      </c>
      <c r="R7" s="29">
        <v>2</v>
      </c>
      <c r="S7" s="30">
        <v>2</v>
      </c>
      <c r="T7" s="29">
        <v>10</v>
      </c>
      <c r="U7" s="30">
        <v>10</v>
      </c>
      <c r="V7" s="29">
        <v>8</v>
      </c>
      <c r="W7" s="30">
        <v>7</v>
      </c>
      <c r="X7" s="29">
        <v>3</v>
      </c>
      <c r="Y7" s="30">
        <v>2</v>
      </c>
      <c r="Z7" s="55">
        <f t="shared" si="0"/>
        <v>58</v>
      </c>
      <c r="AA7" s="56">
        <f t="shared" si="0"/>
        <v>52</v>
      </c>
    </row>
    <row r="8" spans="1:27" ht="15.75" thickBot="1" x14ac:dyDescent="0.3">
      <c r="A8" s="7" t="s">
        <v>30</v>
      </c>
      <c r="B8" s="9">
        <v>1</v>
      </c>
      <c r="C8" s="10">
        <v>1</v>
      </c>
      <c r="D8" s="9">
        <v>3</v>
      </c>
      <c r="E8" s="10">
        <v>1</v>
      </c>
      <c r="F8" s="9">
        <v>8</v>
      </c>
      <c r="G8" s="10">
        <v>6</v>
      </c>
      <c r="H8" s="9">
        <v>2</v>
      </c>
      <c r="I8" s="10">
        <v>2</v>
      </c>
      <c r="J8" s="9">
        <v>6</v>
      </c>
      <c r="K8" s="41">
        <v>6</v>
      </c>
      <c r="L8" s="31">
        <v>3</v>
      </c>
      <c r="M8" s="32">
        <v>1</v>
      </c>
      <c r="N8" s="31">
        <v>5</v>
      </c>
      <c r="O8" s="32">
        <v>5</v>
      </c>
      <c r="P8" s="31">
        <v>4</v>
      </c>
      <c r="Q8" s="32">
        <v>3</v>
      </c>
      <c r="R8" s="31">
        <v>4</v>
      </c>
      <c r="S8" s="32">
        <v>4</v>
      </c>
      <c r="T8" s="31">
        <v>9</v>
      </c>
      <c r="U8" s="32">
        <v>7</v>
      </c>
      <c r="V8" s="31">
        <v>3</v>
      </c>
      <c r="W8" s="32">
        <v>3</v>
      </c>
      <c r="X8" s="31">
        <v>7</v>
      </c>
      <c r="Y8" s="32">
        <v>7</v>
      </c>
      <c r="Z8" s="55">
        <f t="shared" si="0"/>
        <v>55</v>
      </c>
      <c r="AA8" s="56">
        <f t="shared" si="0"/>
        <v>46</v>
      </c>
    </row>
    <row r="9" spans="1:27" ht="15.75" thickBot="1" x14ac:dyDescent="0.3">
      <c r="A9" s="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6"/>
      <c r="O9" s="6"/>
      <c r="P9" s="8"/>
      <c r="Q9" s="8"/>
      <c r="R9" s="6"/>
      <c r="S9" s="6"/>
      <c r="T9" s="6"/>
      <c r="U9" s="6"/>
      <c r="V9" s="6"/>
      <c r="W9" s="6"/>
      <c r="X9" s="6"/>
      <c r="Y9" s="6"/>
    </row>
    <row r="10" spans="1:27" ht="15.75" thickBot="1" x14ac:dyDescent="0.3">
      <c r="A10" s="15" t="s">
        <v>19</v>
      </c>
      <c r="B10" s="9">
        <f>SUM(B4:B9)</f>
        <v>106</v>
      </c>
      <c r="C10" s="10">
        <f t="shared" ref="C10" si="1">SUM(C4:C9)</f>
        <v>97</v>
      </c>
      <c r="D10" s="9">
        <f t="shared" ref="D10:I10" si="2">SUM(D4:D8)</f>
        <v>79</v>
      </c>
      <c r="E10" s="10">
        <f t="shared" si="2"/>
        <v>73</v>
      </c>
      <c r="F10" s="9">
        <f t="shared" si="2"/>
        <v>86</v>
      </c>
      <c r="G10" s="10">
        <f t="shared" si="2"/>
        <v>78</v>
      </c>
      <c r="H10" s="9">
        <f t="shared" si="2"/>
        <v>69</v>
      </c>
      <c r="I10" s="10">
        <f t="shared" si="2"/>
        <v>66</v>
      </c>
      <c r="J10" s="9">
        <f t="shared" ref="J10:O10" si="3">SUM(J4:J8)</f>
        <v>60</v>
      </c>
      <c r="K10" s="41">
        <f t="shared" si="3"/>
        <v>60</v>
      </c>
      <c r="L10" s="46">
        <f t="shared" si="3"/>
        <v>46</v>
      </c>
      <c r="M10" s="47">
        <f t="shared" si="3"/>
        <v>43</v>
      </c>
      <c r="N10" s="46">
        <f t="shared" si="3"/>
        <v>67</v>
      </c>
      <c r="O10" s="47">
        <f t="shared" si="3"/>
        <v>67</v>
      </c>
      <c r="P10" s="46">
        <f t="shared" ref="P10:U10" si="4">SUM(P4:P8)</f>
        <v>107</v>
      </c>
      <c r="Q10" s="47">
        <f t="shared" si="4"/>
        <v>99</v>
      </c>
      <c r="R10" s="46">
        <f t="shared" si="4"/>
        <v>50</v>
      </c>
      <c r="S10" s="47">
        <f t="shared" si="4"/>
        <v>46</v>
      </c>
      <c r="T10" s="46">
        <f t="shared" si="4"/>
        <v>75</v>
      </c>
      <c r="U10" s="47">
        <f t="shared" si="4"/>
        <v>71</v>
      </c>
      <c r="V10" s="46">
        <f>SUM(V4:V8)</f>
        <v>67</v>
      </c>
      <c r="W10" s="47">
        <f>SUM(W4:W8)</f>
        <v>64</v>
      </c>
      <c r="X10" s="46">
        <f>SUM(X4:X8)</f>
        <v>37</v>
      </c>
      <c r="Y10" s="47">
        <f>SUM(Y4:Y8)</f>
        <v>33</v>
      </c>
      <c r="Z10" s="24">
        <f t="shared" ref="Z10:AA10" si="5">SUM(Z4:Z8)</f>
        <v>849</v>
      </c>
      <c r="AA10" s="10">
        <f t="shared" si="5"/>
        <v>797</v>
      </c>
    </row>
    <row r="13" spans="1:27" ht="23.25" x14ac:dyDescent="0.35">
      <c r="O13" s="4"/>
      <c r="S13" s="3"/>
    </row>
    <row r="14" spans="1:27" ht="20.25" x14ac:dyDescent="0.3">
      <c r="O14" s="1"/>
      <c r="P14" s="2"/>
    </row>
    <row r="15" spans="1:27" ht="18.75" x14ac:dyDescent="0.3">
      <c r="P15" s="2"/>
    </row>
    <row r="16" spans="1:27" ht="20.25" x14ac:dyDescent="0.3">
      <c r="O16" s="1"/>
      <c r="P16" s="2"/>
    </row>
    <row r="17" spans="16:16" ht="18.75" x14ac:dyDescent="0.3">
      <c r="P17" s="2"/>
    </row>
  </sheetData>
  <mergeCells count="1">
    <mergeCell ref="Z2:AA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E1C30-48ED-4D5F-9E46-AED2A25BE572}">
  <dimension ref="A1:AA28"/>
  <sheetViews>
    <sheetView topLeftCell="A13" workbookViewId="0">
      <selection activeCell="D27" sqref="D27"/>
    </sheetView>
  </sheetViews>
  <sheetFormatPr defaultRowHeight="15" x14ac:dyDescent="0.25"/>
  <cols>
    <col min="1" max="1" width="17.5703125" customWidth="1"/>
    <col min="2" max="2" width="12" customWidth="1"/>
    <col min="3" max="3" width="12.5703125" customWidth="1"/>
    <col min="4" max="4" width="12.42578125" customWidth="1"/>
    <col min="5" max="5" width="11.140625" customWidth="1"/>
    <col min="6" max="6" width="12.28515625" customWidth="1"/>
    <col min="7" max="7" width="12" customWidth="1"/>
    <col min="8" max="8" width="11.7109375" customWidth="1"/>
    <col min="9" max="9" width="10.5703125" customWidth="1"/>
    <col min="10" max="10" width="12.42578125" customWidth="1"/>
    <col min="11" max="11" width="9.85546875" customWidth="1"/>
    <col min="12" max="12" width="10.42578125" customWidth="1"/>
    <col min="13" max="13" width="11.5703125" customWidth="1"/>
    <col min="26" max="26" width="10.42578125" customWidth="1"/>
  </cols>
  <sheetData>
    <row r="1" spans="1:27" ht="15.75" thickBot="1" x14ac:dyDescent="0.3"/>
    <row r="2" spans="1:27" x14ac:dyDescent="0.25">
      <c r="A2" s="6"/>
      <c r="B2" s="20" t="s">
        <v>23</v>
      </c>
      <c r="C2" s="20"/>
      <c r="D2" s="20" t="s">
        <v>24</v>
      </c>
      <c r="E2" s="20"/>
      <c r="F2" s="21" t="s">
        <v>25</v>
      </c>
      <c r="G2" s="21"/>
      <c r="H2" s="21" t="s">
        <v>26</v>
      </c>
      <c r="I2" s="22"/>
      <c r="J2" s="21" t="s">
        <v>27</v>
      </c>
      <c r="K2" s="54"/>
      <c r="L2" s="25" t="s">
        <v>28</v>
      </c>
      <c r="M2" s="26"/>
      <c r="N2" s="25" t="s">
        <v>0</v>
      </c>
      <c r="O2" s="26"/>
      <c r="P2" s="25" t="s">
        <v>3</v>
      </c>
      <c r="Q2" s="26"/>
      <c r="R2" s="35" t="s">
        <v>4</v>
      </c>
      <c r="S2" s="36"/>
      <c r="T2" s="35" t="s">
        <v>5</v>
      </c>
      <c r="U2" s="36"/>
      <c r="V2" s="35" t="s">
        <v>6</v>
      </c>
      <c r="W2" s="36"/>
      <c r="X2" s="37" t="s">
        <v>7</v>
      </c>
      <c r="Y2" s="38"/>
      <c r="Z2" s="98" t="s">
        <v>29</v>
      </c>
      <c r="AA2" s="99"/>
    </row>
    <row r="3" spans="1:27" x14ac:dyDescent="0.25">
      <c r="A3" s="6"/>
      <c r="B3" s="13" t="s">
        <v>1</v>
      </c>
      <c r="C3" s="11" t="s">
        <v>2</v>
      </c>
      <c r="D3" s="13" t="s">
        <v>1</v>
      </c>
      <c r="E3" s="11" t="s">
        <v>2</v>
      </c>
      <c r="F3" s="13" t="s">
        <v>1</v>
      </c>
      <c r="G3" s="11" t="s">
        <v>2</v>
      </c>
      <c r="H3" s="13" t="s">
        <v>1</v>
      </c>
      <c r="I3" s="11" t="s">
        <v>2</v>
      </c>
      <c r="J3" s="13" t="s">
        <v>1</v>
      </c>
      <c r="K3" s="53" t="s">
        <v>2</v>
      </c>
      <c r="L3" s="27" t="s">
        <v>1</v>
      </c>
      <c r="M3" s="28" t="s">
        <v>2</v>
      </c>
      <c r="N3" s="27" t="s">
        <v>1</v>
      </c>
      <c r="O3" s="28" t="s">
        <v>2</v>
      </c>
      <c r="P3" s="33" t="s">
        <v>1</v>
      </c>
      <c r="Q3" s="34" t="s">
        <v>2</v>
      </c>
      <c r="R3" s="33" t="s">
        <v>1</v>
      </c>
      <c r="S3" s="34" t="s">
        <v>2</v>
      </c>
      <c r="T3" s="33" t="s">
        <v>1</v>
      </c>
      <c r="U3" s="34" t="s">
        <v>2</v>
      </c>
      <c r="V3" s="33" t="s">
        <v>1</v>
      </c>
      <c r="W3" s="34" t="s">
        <v>2</v>
      </c>
      <c r="X3" s="33" t="s">
        <v>1</v>
      </c>
      <c r="Y3" s="34" t="s">
        <v>2</v>
      </c>
      <c r="Z3" s="29" t="s">
        <v>1</v>
      </c>
      <c r="AA3" s="30" t="s">
        <v>2</v>
      </c>
    </row>
    <row r="4" spans="1:27" x14ac:dyDescent="0.25">
      <c r="A4" s="7" t="s">
        <v>14</v>
      </c>
      <c r="B4" s="9">
        <v>24</v>
      </c>
      <c r="C4" s="10">
        <v>22</v>
      </c>
      <c r="D4" s="9">
        <v>38</v>
      </c>
      <c r="E4" s="10">
        <v>32</v>
      </c>
      <c r="F4" s="9">
        <v>16</v>
      </c>
      <c r="G4" s="10">
        <v>15</v>
      </c>
      <c r="H4" s="9">
        <v>20</v>
      </c>
      <c r="I4" s="10">
        <v>20</v>
      </c>
      <c r="J4" s="9">
        <v>33</v>
      </c>
      <c r="K4" s="41">
        <v>31</v>
      </c>
      <c r="L4" s="29">
        <v>14</v>
      </c>
      <c r="M4" s="30">
        <v>10</v>
      </c>
      <c r="N4" s="29">
        <v>14</v>
      </c>
      <c r="O4" s="30">
        <v>14</v>
      </c>
      <c r="P4" s="29">
        <v>79</v>
      </c>
      <c r="Q4" s="30">
        <v>69</v>
      </c>
      <c r="R4" s="29">
        <v>65</v>
      </c>
      <c r="S4" s="30">
        <v>57</v>
      </c>
      <c r="T4" s="29">
        <v>44</v>
      </c>
      <c r="U4" s="30">
        <v>40</v>
      </c>
      <c r="V4" s="29">
        <v>15</v>
      </c>
      <c r="W4" s="30">
        <v>15</v>
      </c>
      <c r="X4" s="29">
        <v>51</v>
      </c>
      <c r="Y4" s="30">
        <v>41</v>
      </c>
      <c r="Z4" s="55">
        <f>SUM(B4,D4,F4,H4,J4,L4,N4,P4,R4,T4,V4,X4)</f>
        <v>413</v>
      </c>
      <c r="AA4" s="56">
        <f>SUM(C4,E4,G4,I4,K4,M4,O4,Q4,S4,U4,W4,Y4)</f>
        <v>366</v>
      </c>
    </row>
    <row r="5" spans="1:27" x14ac:dyDescent="0.25">
      <c r="A5" s="7" t="s">
        <v>15</v>
      </c>
      <c r="B5" s="9">
        <v>20</v>
      </c>
      <c r="C5" s="10">
        <v>18</v>
      </c>
      <c r="D5" s="9">
        <v>18</v>
      </c>
      <c r="E5" s="10">
        <v>18</v>
      </c>
      <c r="F5" s="9">
        <v>24</v>
      </c>
      <c r="G5" s="10">
        <v>24</v>
      </c>
      <c r="H5" s="9">
        <v>35</v>
      </c>
      <c r="I5" s="10">
        <v>29</v>
      </c>
      <c r="J5" s="9">
        <v>51</v>
      </c>
      <c r="K5" s="41">
        <v>48</v>
      </c>
      <c r="L5" s="29">
        <v>35</v>
      </c>
      <c r="M5" s="30">
        <v>31</v>
      </c>
      <c r="N5" s="29">
        <v>77</v>
      </c>
      <c r="O5" s="30">
        <v>69</v>
      </c>
      <c r="P5" s="29">
        <v>71</v>
      </c>
      <c r="Q5" s="30">
        <v>64</v>
      </c>
      <c r="R5" s="29">
        <v>52</v>
      </c>
      <c r="S5" s="30">
        <v>51</v>
      </c>
      <c r="T5" s="29">
        <v>32</v>
      </c>
      <c r="U5" s="30">
        <v>31</v>
      </c>
      <c r="V5" s="29">
        <v>70</v>
      </c>
      <c r="W5" s="30">
        <v>61</v>
      </c>
      <c r="X5" s="29">
        <v>24</v>
      </c>
      <c r="Y5" s="30">
        <v>23</v>
      </c>
      <c r="Z5" s="55">
        <f t="shared" ref="Z5:AA8" si="0">SUM(B5,D5,F5,H5,J5,L5,N5,P5,R5,T5,V5,X5)</f>
        <v>509</v>
      </c>
      <c r="AA5" s="56">
        <f t="shared" si="0"/>
        <v>467</v>
      </c>
    </row>
    <row r="6" spans="1:27" x14ac:dyDescent="0.25">
      <c r="A6" s="7" t="s">
        <v>16</v>
      </c>
      <c r="B6" s="9">
        <v>4</v>
      </c>
      <c r="C6" s="10">
        <v>3</v>
      </c>
      <c r="D6" s="9">
        <v>5</v>
      </c>
      <c r="E6" s="10">
        <v>5</v>
      </c>
      <c r="F6" s="9">
        <v>4</v>
      </c>
      <c r="G6" s="10">
        <v>4</v>
      </c>
      <c r="H6" s="9">
        <v>17</v>
      </c>
      <c r="I6" s="10">
        <v>17</v>
      </c>
      <c r="J6" s="9">
        <v>5</v>
      </c>
      <c r="K6" s="41">
        <v>4</v>
      </c>
      <c r="L6" s="29">
        <v>9</v>
      </c>
      <c r="M6" s="30">
        <v>9</v>
      </c>
      <c r="N6" s="29">
        <v>2</v>
      </c>
      <c r="O6" s="30">
        <v>2</v>
      </c>
      <c r="P6" s="29">
        <v>12</v>
      </c>
      <c r="Q6" s="30">
        <v>11</v>
      </c>
      <c r="R6" s="29">
        <v>12</v>
      </c>
      <c r="S6" s="30">
        <v>12</v>
      </c>
      <c r="T6" s="29">
        <v>5</v>
      </c>
      <c r="U6" s="30">
        <v>5</v>
      </c>
      <c r="V6" s="29">
        <v>10</v>
      </c>
      <c r="W6" s="30">
        <v>9</v>
      </c>
      <c r="X6" s="29">
        <v>3</v>
      </c>
      <c r="Y6" s="30">
        <v>3</v>
      </c>
      <c r="Z6" s="55">
        <f t="shared" si="0"/>
        <v>88</v>
      </c>
      <c r="AA6" s="56">
        <f t="shared" si="0"/>
        <v>84</v>
      </c>
    </row>
    <row r="7" spans="1:27" x14ac:dyDescent="0.25">
      <c r="A7" s="7" t="s">
        <v>17</v>
      </c>
      <c r="B7" s="9">
        <v>3</v>
      </c>
      <c r="C7" s="10">
        <v>3</v>
      </c>
      <c r="D7" s="9">
        <v>5</v>
      </c>
      <c r="E7" s="10">
        <v>5</v>
      </c>
      <c r="F7" s="9">
        <v>3</v>
      </c>
      <c r="G7" s="10">
        <v>3</v>
      </c>
      <c r="H7" s="9">
        <v>2</v>
      </c>
      <c r="I7" s="10">
        <v>2</v>
      </c>
      <c r="J7" s="9">
        <v>3</v>
      </c>
      <c r="K7" s="41">
        <v>3</v>
      </c>
      <c r="L7" s="29">
        <v>3</v>
      </c>
      <c r="M7" s="30">
        <v>3</v>
      </c>
      <c r="N7" s="29">
        <v>1</v>
      </c>
      <c r="O7" s="30">
        <v>1</v>
      </c>
      <c r="P7" s="29">
        <v>1</v>
      </c>
      <c r="Q7" s="30">
        <v>1</v>
      </c>
      <c r="R7" s="29">
        <v>188</v>
      </c>
      <c r="S7" s="30">
        <v>177</v>
      </c>
      <c r="T7" s="29">
        <v>8</v>
      </c>
      <c r="U7" s="30">
        <v>8</v>
      </c>
      <c r="V7" s="29">
        <v>2</v>
      </c>
      <c r="W7" s="30">
        <v>2</v>
      </c>
      <c r="X7" s="29">
        <v>1</v>
      </c>
      <c r="Y7" s="30">
        <v>1</v>
      </c>
      <c r="Z7" s="55">
        <f t="shared" si="0"/>
        <v>220</v>
      </c>
      <c r="AA7" s="56">
        <f t="shared" si="0"/>
        <v>209</v>
      </c>
    </row>
    <row r="8" spans="1:27" ht="15.75" thickBot="1" x14ac:dyDescent="0.3">
      <c r="A8" s="7" t="s">
        <v>18</v>
      </c>
      <c r="B8" s="9">
        <v>3</v>
      </c>
      <c r="C8" s="10">
        <v>2</v>
      </c>
      <c r="D8" s="9">
        <v>14</v>
      </c>
      <c r="E8" s="10">
        <v>10</v>
      </c>
      <c r="F8" s="9">
        <v>1</v>
      </c>
      <c r="G8" s="10">
        <v>1</v>
      </c>
      <c r="H8" s="9">
        <v>2</v>
      </c>
      <c r="I8" s="10">
        <v>1</v>
      </c>
      <c r="J8" s="9">
        <v>13</v>
      </c>
      <c r="K8" s="41">
        <v>12</v>
      </c>
      <c r="L8" s="31">
        <v>6</v>
      </c>
      <c r="M8" s="32">
        <v>5</v>
      </c>
      <c r="N8" s="31">
        <v>5</v>
      </c>
      <c r="O8" s="32">
        <v>2</v>
      </c>
      <c r="P8" s="31">
        <v>10</v>
      </c>
      <c r="Q8" s="32">
        <v>5</v>
      </c>
      <c r="R8" s="31">
        <v>23</v>
      </c>
      <c r="S8" s="32">
        <v>12</v>
      </c>
      <c r="T8" s="31">
        <v>2</v>
      </c>
      <c r="U8" s="32">
        <v>1</v>
      </c>
      <c r="V8" s="31">
        <v>0</v>
      </c>
      <c r="W8" s="32">
        <v>0</v>
      </c>
      <c r="X8" s="31">
        <v>2</v>
      </c>
      <c r="Y8" s="32">
        <v>1</v>
      </c>
      <c r="Z8" s="55">
        <f t="shared" si="0"/>
        <v>81</v>
      </c>
      <c r="AA8" s="56">
        <f t="shared" si="0"/>
        <v>52</v>
      </c>
    </row>
    <row r="9" spans="1:27" ht="15.75" thickBot="1" x14ac:dyDescent="0.3">
      <c r="A9" s="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6"/>
      <c r="O9" s="6"/>
      <c r="P9" s="8"/>
      <c r="Q9" s="8"/>
      <c r="R9" s="6"/>
      <c r="S9" s="6"/>
      <c r="T9" s="6"/>
      <c r="U9" s="6"/>
      <c r="V9" s="6"/>
      <c r="W9" s="6"/>
      <c r="X9" s="6"/>
      <c r="Y9" s="6"/>
    </row>
    <row r="10" spans="1:27" ht="15.75" thickBot="1" x14ac:dyDescent="0.3">
      <c r="A10" s="15" t="s">
        <v>19</v>
      </c>
      <c r="B10" s="9">
        <f>SUM(B4:B9)</f>
        <v>54</v>
      </c>
      <c r="C10" s="10">
        <f t="shared" ref="C10:M10" si="1">SUM(C4:C9)</f>
        <v>48</v>
      </c>
      <c r="D10" s="9">
        <f t="shared" si="1"/>
        <v>80</v>
      </c>
      <c r="E10" s="10">
        <f t="shared" si="1"/>
        <v>70</v>
      </c>
      <c r="F10" s="9">
        <f t="shared" si="1"/>
        <v>48</v>
      </c>
      <c r="G10" s="10">
        <f t="shared" si="1"/>
        <v>47</v>
      </c>
      <c r="H10" s="9">
        <f t="shared" si="1"/>
        <v>76</v>
      </c>
      <c r="I10" s="10">
        <f t="shared" si="1"/>
        <v>69</v>
      </c>
      <c r="J10" s="9">
        <f t="shared" si="1"/>
        <v>105</v>
      </c>
      <c r="K10" s="41">
        <f t="shared" si="1"/>
        <v>98</v>
      </c>
      <c r="L10" s="46">
        <f t="shared" si="1"/>
        <v>67</v>
      </c>
      <c r="M10" s="47">
        <f t="shared" si="1"/>
        <v>58</v>
      </c>
      <c r="N10" s="46">
        <f t="shared" ref="N10:AA10" si="2">SUM(N4:N8)</f>
        <v>99</v>
      </c>
      <c r="O10" s="47">
        <f t="shared" si="2"/>
        <v>88</v>
      </c>
      <c r="P10" s="46">
        <f t="shared" si="2"/>
        <v>173</v>
      </c>
      <c r="Q10" s="47">
        <f t="shared" si="2"/>
        <v>150</v>
      </c>
      <c r="R10" s="46">
        <f t="shared" si="2"/>
        <v>340</v>
      </c>
      <c r="S10" s="47">
        <f t="shared" si="2"/>
        <v>309</v>
      </c>
      <c r="T10" s="46">
        <f t="shared" si="2"/>
        <v>91</v>
      </c>
      <c r="U10" s="47">
        <f t="shared" si="2"/>
        <v>85</v>
      </c>
      <c r="V10" s="46">
        <f t="shared" si="2"/>
        <v>97</v>
      </c>
      <c r="W10" s="47">
        <f t="shared" si="2"/>
        <v>87</v>
      </c>
      <c r="X10" s="46">
        <f t="shared" si="2"/>
        <v>81</v>
      </c>
      <c r="Y10" s="47">
        <f t="shared" si="2"/>
        <v>69</v>
      </c>
      <c r="Z10" s="24">
        <f t="shared" si="2"/>
        <v>1311</v>
      </c>
      <c r="AA10" s="10">
        <f t="shared" si="2"/>
        <v>1178</v>
      </c>
    </row>
    <row r="13" spans="1:27" ht="23.25" x14ac:dyDescent="0.35">
      <c r="O13" s="4"/>
      <c r="S13" s="3"/>
    </row>
    <row r="14" spans="1:27" ht="30" x14ac:dyDescent="0.3">
      <c r="C14" s="19" t="s">
        <v>21</v>
      </c>
      <c r="D14" s="19" t="s">
        <v>22</v>
      </c>
      <c r="O14" s="1"/>
      <c r="P14" s="2"/>
    </row>
    <row r="15" spans="1:27" ht="20.25" x14ac:dyDescent="0.3">
      <c r="B15" t="s">
        <v>8</v>
      </c>
      <c r="C15" s="19">
        <f>'2023'!B10</f>
        <v>106</v>
      </c>
      <c r="D15" s="19">
        <f>'2023'!C10</f>
        <v>97</v>
      </c>
      <c r="O15" s="1"/>
      <c r="P15" s="2"/>
    </row>
    <row r="16" spans="1:27" ht="20.25" x14ac:dyDescent="0.3">
      <c r="B16" t="s">
        <v>9</v>
      </c>
      <c r="C16" s="19">
        <f>'2023'!D10</f>
        <v>79</v>
      </c>
      <c r="D16" s="19">
        <f>'2023'!E10</f>
        <v>73</v>
      </c>
      <c r="O16" s="1"/>
      <c r="P16" s="2"/>
    </row>
    <row r="17" spans="2:16" ht="20.25" x14ac:dyDescent="0.3">
      <c r="B17" t="s">
        <v>10</v>
      </c>
      <c r="C17" s="19">
        <f>'2023'!F10</f>
        <v>86</v>
      </c>
      <c r="D17" s="19">
        <f>'2023'!G10</f>
        <v>78</v>
      </c>
      <c r="O17" s="1"/>
      <c r="P17" s="2"/>
    </row>
    <row r="18" spans="2:16" ht="20.25" x14ac:dyDescent="0.3">
      <c r="B18" t="s">
        <v>11</v>
      </c>
      <c r="C18" s="19">
        <f>'2023'!H10</f>
        <v>69</v>
      </c>
      <c r="D18" s="19">
        <f>'2023'!I10</f>
        <v>66</v>
      </c>
      <c r="O18" s="1"/>
      <c r="P18" s="2"/>
    </row>
    <row r="19" spans="2:16" ht="20.25" x14ac:dyDescent="0.3">
      <c r="B19" t="s">
        <v>12</v>
      </c>
      <c r="C19" s="19">
        <f>'2023'!$J$10</f>
        <v>60</v>
      </c>
      <c r="D19" s="19">
        <f>'2023'!$K$10</f>
        <v>60</v>
      </c>
      <c r="O19" s="1"/>
      <c r="P19" s="2"/>
    </row>
    <row r="20" spans="2:16" ht="20.25" x14ac:dyDescent="0.3">
      <c r="B20" t="s">
        <v>13</v>
      </c>
      <c r="C20" s="19">
        <f>'2023'!L10</f>
        <v>46</v>
      </c>
      <c r="D20" s="19">
        <f>'2023'!M10</f>
        <v>43</v>
      </c>
      <c r="O20" s="1"/>
      <c r="P20" s="2"/>
    </row>
    <row r="21" spans="2:16" ht="18.75" x14ac:dyDescent="0.3">
      <c r="B21" t="s">
        <v>0</v>
      </c>
      <c r="C21" s="19">
        <f>'2023'!N10</f>
        <v>67</v>
      </c>
      <c r="D21" s="19">
        <f>'2023'!O10</f>
        <v>67</v>
      </c>
      <c r="P21" s="2"/>
    </row>
    <row r="22" spans="2:16" ht="20.25" x14ac:dyDescent="0.3">
      <c r="B22" t="s">
        <v>20</v>
      </c>
      <c r="C22" s="19">
        <f>'2023'!P10</f>
        <v>107</v>
      </c>
      <c r="D22" s="19">
        <f>'2023'!Q10</f>
        <v>99</v>
      </c>
      <c r="O22" s="1"/>
      <c r="P22" s="2"/>
    </row>
    <row r="23" spans="2:16" ht="18.75" x14ac:dyDescent="0.3">
      <c r="B23" t="s">
        <v>4</v>
      </c>
      <c r="C23" s="19">
        <f>'2023'!R10</f>
        <v>50</v>
      </c>
      <c r="D23" s="19">
        <f>'2023'!S10</f>
        <v>46</v>
      </c>
      <c r="P23" s="2"/>
    </row>
    <row r="24" spans="2:16" x14ac:dyDescent="0.25">
      <c r="B24" t="s">
        <v>5</v>
      </c>
      <c r="C24" s="19">
        <f>'2023'!T10</f>
        <v>75</v>
      </c>
      <c r="D24" s="19">
        <f>'2023'!U10</f>
        <v>71</v>
      </c>
    </row>
    <row r="25" spans="2:16" x14ac:dyDescent="0.25">
      <c r="B25" t="s">
        <v>6</v>
      </c>
      <c r="C25" s="19">
        <f>'2023'!V10</f>
        <v>67</v>
      </c>
      <c r="D25" s="19">
        <f>'2023'!W10</f>
        <v>64</v>
      </c>
    </row>
    <row r="26" spans="2:16" x14ac:dyDescent="0.25">
      <c r="B26" t="s">
        <v>7</v>
      </c>
      <c r="C26" s="19">
        <f>'2023'!X10</f>
        <v>37</v>
      </c>
      <c r="D26" s="19">
        <f>'2023'!Y10</f>
        <v>33</v>
      </c>
    </row>
    <row r="28" spans="2:16" x14ac:dyDescent="0.25">
      <c r="C28">
        <f>SUM(C15:C26)</f>
        <v>849</v>
      </c>
      <c r="D28">
        <f>SUM(D15:D26)</f>
        <v>797</v>
      </c>
    </row>
  </sheetData>
  <mergeCells count="1">
    <mergeCell ref="Z2:AA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72F38-05AC-41A1-AB14-E4B95A39F72B}">
  <dimension ref="A2:AA16"/>
  <sheetViews>
    <sheetView topLeftCell="C1" zoomScale="80" zoomScaleNormal="80" workbookViewId="0">
      <selection activeCell="V20" sqref="V20"/>
    </sheetView>
  </sheetViews>
  <sheetFormatPr defaultRowHeight="15" x14ac:dyDescent="0.25"/>
  <cols>
    <col min="1" max="1" width="18.85546875" customWidth="1"/>
    <col min="2" max="2" width="13.5703125" customWidth="1"/>
    <col min="14" max="25" width="9.140625" customWidth="1"/>
  </cols>
  <sheetData>
    <row r="2" spans="1:27" ht="15.75" thickBot="1" x14ac:dyDescent="0.3"/>
    <row r="3" spans="1:27" ht="15.75" thickBot="1" x14ac:dyDescent="0.3">
      <c r="A3" s="6"/>
      <c r="B3" s="100" t="s">
        <v>23</v>
      </c>
      <c r="C3" s="101"/>
      <c r="D3" s="102" t="s">
        <v>24</v>
      </c>
      <c r="E3" s="101"/>
      <c r="F3" s="103" t="s">
        <v>25</v>
      </c>
      <c r="G3" s="104"/>
      <c r="H3" s="103" t="s">
        <v>26</v>
      </c>
      <c r="I3" s="104"/>
      <c r="J3" s="103" t="s">
        <v>27</v>
      </c>
      <c r="K3" s="104"/>
      <c r="L3" s="105" t="s">
        <v>28</v>
      </c>
      <c r="M3" s="106"/>
      <c r="N3" s="107" t="s">
        <v>42</v>
      </c>
      <c r="O3" s="108"/>
      <c r="P3" s="109" t="s">
        <v>43</v>
      </c>
      <c r="Q3" s="110"/>
      <c r="R3" s="111" t="s">
        <v>44</v>
      </c>
      <c r="S3" s="112"/>
      <c r="T3" s="111" t="s">
        <v>45</v>
      </c>
      <c r="U3" s="112"/>
      <c r="V3" s="111" t="s">
        <v>46</v>
      </c>
      <c r="W3" s="112"/>
      <c r="X3" s="113" t="s">
        <v>47</v>
      </c>
      <c r="Y3" s="114"/>
      <c r="Z3" s="98" t="s">
        <v>29</v>
      </c>
      <c r="AA3" s="99"/>
    </row>
    <row r="4" spans="1:27" x14ac:dyDescent="0.25">
      <c r="A4" s="66" t="s">
        <v>31</v>
      </c>
      <c r="B4" s="71" t="s">
        <v>41</v>
      </c>
      <c r="C4" s="79" t="s">
        <v>37</v>
      </c>
      <c r="D4" s="75" t="s">
        <v>41</v>
      </c>
      <c r="E4" s="79" t="s">
        <v>39</v>
      </c>
      <c r="F4" s="75" t="s">
        <v>41</v>
      </c>
      <c r="G4" s="79" t="s">
        <v>39</v>
      </c>
      <c r="H4" s="75" t="s">
        <v>41</v>
      </c>
      <c r="I4" s="79" t="s">
        <v>39</v>
      </c>
      <c r="J4" s="75" t="s">
        <v>41</v>
      </c>
      <c r="K4" s="79" t="s">
        <v>39</v>
      </c>
      <c r="L4" s="75" t="s">
        <v>41</v>
      </c>
      <c r="M4" s="92" t="s">
        <v>39</v>
      </c>
      <c r="N4" s="96" t="s">
        <v>41</v>
      </c>
      <c r="O4" s="97" t="s">
        <v>39</v>
      </c>
      <c r="P4" s="95" t="s">
        <v>41</v>
      </c>
      <c r="Q4" s="34" t="s">
        <v>37</v>
      </c>
      <c r="R4" s="33" t="s">
        <v>41</v>
      </c>
      <c r="S4" s="34" t="s">
        <v>39</v>
      </c>
      <c r="T4" s="33" t="s">
        <v>41</v>
      </c>
      <c r="U4" s="34" t="s">
        <v>39</v>
      </c>
      <c r="V4" s="33" t="s">
        <v>41</v>
      </c>
      <c r="W4" s="34" t="s">
        <v>37</v>
      </c>
      <c r="X4" s="33" t="s">
        <v>41</v>
      </c>
      <c r="Y4" s="34" t="s">
        <v>39</v>
      </c>
      <c r="Z4" s="87" t="s">
        <v>48</v>
      </c>
      <c r="AA4" s="83" t="s">
        <v>37</v>
      </c>
    </row>
    <row r="5" spans="1:27" x14ac:dyDescent="0.25">
      <c r="A5" s="67" t="s">
        <v>34</v>
      </c>
      <c r="B5" s="72">
        <v>55</v>
      </c>
      <c r="C5" s="80">
        <f>55*300</f>
        <v>16500</v>
      </c>
      <c r="D5" s="76">
        <v>60</v>
      </c>
      <c r="E5" s="80">
        <f>D5*300</f>
        <v>18000</v>
      </c>
      <c r="F5" s="76">
        <v>83</v>
      </c>
      <c r="G5" s="80">
        <f>F5*300</f>
        <v>24900</v>
      </c>
      <c r="H5" s="76">
        <v>80</v>
      </c>
      <c r="I5" s="80">
        <f>H5*300</f>
        <v>24000</v>
      </c>
      <c r="J5" s="76">
        <v>71</v>
      </c>
      <c r="K5" s="80">
        <f>J5*300</f>
        <v>21300</v>
      </c>
      <c r="L5" s="76">
        <v>70</v>
      </c>
      <c r="M5" s="93">
        <f>L5*300</f>
        <v>21000</v>
      </c>
      <c r="N5" s="29">
        <v>75</v>
      </c>
      <c r="O5" s="30">
        <f>N5*300</f>
        <v>22500</v>
      </c>
      <c r="P5" s="24">
        <v>125</v>
      </c>
      <c r="Q5" s="30">
        <f>P5*300</f>
        <v>37500</v>
      </c>
      <c r="R5" s="29">
        <v>80</v>
      </c>
      <c r="S5" s="30">
        <f>R5*300</f>
        <v>24000</v>
      </c>
      <c r="T5" s="29">
        <v>102</v>
      </c>
      <c r="U5" s="30">
        <f>T5*300</f>
        <v>30600</v>
      </c>
      <c r="V5" s="29">
        <v>110</v>
      </c>
      <c r="W5" s="30">
        <f>V5*300</f>
        <v>33000</v>
      </c>
      <c r="X5" s="29">
        <v>70</v>
      </c>
      <c r="Y5" s="30">
        <f>X5*300</f>
        <v>21000</v>
      </c>
      <c r="Z5" s="88">
        <f>SUM(B5,D5,F5,H5,J5,L5,N5,P5,R5,T5,V5,X5)</f>
        <v>981</v>
      </c>
      <c r="AA5" s="86">
        <f>SUM(C5,E5,G5,I5,K5,M5,O5,Q5,S5,U5,W5,Y5)</f>
        <v>294300</v>
      </c>
    </row>
    <row r="6" spans="1:27" x14ac:dyDescent="0.25">
      <c r="A6" s="67" t="s">
        <v>35</v>
      </c>
      <c r="B6" s="72">
        <v>60</v>
      </c>
      <c r="C6" s="80">
        <v>60000</v>
      </c>
      <c r="D6" s="76">
        <v>89</v>
      </c>
      <c r="E6" s="80">
        <f>D6*1000</f>
        <v>89000</v>
      </c>
      <c r="F6" s="76">
        <v>92</v>
      </c>
      <c r="G6" s="80">
        <f>F6*1000</f>
        <v>92000</v>
      </c>
      <c r="H6" s="76">
        <v>62</v>
      </c>
      <c r="I6" s="80">
        <f>62*1000</f>
        <v>62000</v>
      </c>
      <c r="J6" s="76">
        <v>57</v>
      </c>
      <c r="K6" s="80">
        <f>J6*1000</f>
        <v>57000</v>
      </c>
      <c r="L6" s="76">
        <v>60</v>
      </c>
      <c r="M6" s="93">
        <f>L6*1000</f>
        <v>60000</v>
      </c>
      <c r="N6" s="29">
        <v>50</v>
      </c>
      <c r="O6" s="30">
        <f>N6*1000</f>
        <v>50000</v>
      </c>
      <c r="P6" s="24">
        <v>70</v>
      </c>
      <c r="Q6" s="30">
        <f>P6*1000</f>
        <v>70000</v>
      </c>
      <c r="R6" s="29">
        <v>45</v>
      </c>
      <c r="S6" s="30">
        <f>R6*1000</f>
        <v>45000</v>
      </c>
      <c r="T6" s="29">
        <v>55</v>
      </c>
      <c r="U6" s="30">
        <f>T6*1000</f>
        <v>55000</v>
      </c>
      <c r="V6" s="29">
        <v>67</v>
      </c>
      <c r="W6" s="30">
        <f>V6*1000</f>
        <v>67000</v>
      </c>
      <c r="X6" s="29">
        <v>37</v>
      </c>
      <c r="Y6" s="30">
        <f>37*1000</f>
        <v>37000</v>
      </c>
      <c r="Z6" s="88">
        <f t="shared" ref="Z6:AA10" si="0">SUM(B6,D6,F6,H6,J6,L6,N6,P6,R6,T6,V6,X6)</f>
        <v>744</v>
      </c>
      <c r="AA6" s="86">
        <f t="shared" si="0"/>
        <v>744000</v>
      </c>
    </row>
    <row r="7" spans="1:27" ht="30" x14ac:dyDescent="0.25">
      <c r="A7" s="68" t="s">
        <v>36</v>
      </c>
      <c r="B7" s="72">
        <v>4</v>
      </c>
      <c r="C7" s="80">
        <f>4*1000</f>
        <v>4000</v>
      </c>
      <c r="D7" s="76">
        <v>13</v>
      </c>
      <c r="E7" s="80">
        <f>D7*1000</f>
        <v>13000</v>
      </c>
      <c r="F7" s="76">
        <v>9</v>
      </c>
      <c r="G7" s="80">
        <f>F7*1000</f>
        <v>9000</v>
      </c>
      <c r="H7" s="76">
        <v>4</v>
      </c>
      <c r="I7" s="80">
        <f>4*1000</f>
        <v>4000</v>
      </c>
      <c r="J7" s="76">
        <v>11</v>
      </c>
      <c r="K7" s="80">
        <f>J7*1000</f>
        <v>11000</v>
      </c>
      <c r="L7" s="76">
        <v>8</v>
      </c>
      <c r="M7" s="93">
        <f>5*1000</f>
        <v>5000</v>
      </c>
      <c r="N7" s="29">
        <v>2</v>
      </c>
      <c r="O7" s="30">
        <f>N7*1000</f>
        <v>2000</v>
      </c>
      <c r="P7" s="24">
        <v>3</v>
      </c>
      <c r="Q7" s="30">
        <f>P7*1000</f>
        <v>3000</v>
      </c>
      <c r="R7" s="29">
        <v>3</v>
      </c>
      <c r="S7" s="30">
        <f>R7*1000</f>
        <v>3000</v>
      </c>
      <c r="T7" s="29">
        <v>12</v>
      </c>
      <c r="U7" s="30">
        <f>T7*1000</f>
        <v>12000</v>
      </c>
      <c r="V7" s="29">
        <v>20</v>
      </c>
      <c r="W7" s="30">
        <f>V7*1000</f>
        <v>20000</v>
      </c>
      <c r="X7" s="29">
        <v>3</v>
      </c>
      <c r="Y7" s="30">
        <f>X7*1000</f>
        <v>3000</v>
      </c>
      <c r="Z7" s="88">
        <f t="shared" si="0"/>
        <v>92</v>
      </c>
      <c r="AA7" s="86">
        <f t="shared" si="0"/>
        <v>89000</v>
      </c>
    </row>
    <row r="8" spans="1:27" x14ac:dyDescent="0.25">
      <c r="A8" s="67" t="s">
        <v>32</v>
      </c>
      <c r="B8" s="72">
        <v>6</v>
      </c>
      <c r="C8" s="80">
        <f>6*600</f>
        <v>3600</v>
      </c>
      <c r="D8" s="76">
        <v>14</v>
      </c>
      <c r="E8" s="80">
        <f>D8*600</f>
        <v>8400</v>
      </c>
      <c r="F8" s="76">
        <v>6</v>
      </c>
      <c r="G8" s="80">
        <f>F8*600</f>
        <v>3600</v>
      </c>
      <c r="H8" s="76">
        <v>7</v>
      </c>
      <c r="I8" s="80">
        <f>H8*600</f>
        <v>4200</v>
      </c>
      <c r="J8" s="76">
        <v>27</v>
      </c>
      <c r="K8" s="80">
        <f>J8*600</f>
        <v>16200</v>
      </c>
      <c r="L8" s="76">
        <v>18</v>
      </c>
      <c r="M8" s="93">
        <f>L8*600</f>
        <v>10800</v>
      </c>
      <c r="N8" s="29">
        <v>26</v>
      </c>
      <c r="O8" s="30">
        <f>N8*600</f>
        <v>15600</v>
      </c>
      <c r="P8" s="24">
        <v>45</v>
      </c>
      <c r="Q8" s="30">
        <f>P8*600</f>
        <v>27000</v>
      </c>
      <c r="R8" s="29">
        <v>35</v>
      </c>
      <c r="S8" s="30">
        <f>R8*600</f>
        <v>21000</v>
      </c>
      <c r="T8" s="29">
        <v>70</v>
      </c>
      <c r="U8" s="30">
        <f>T8*600</f>
        <v>42000</v>
      </c>
      <c r="V8" s="29">
        <v>38</v>
      </c>
      <c r="W8" s="30">
        <f>V8*600</f>
        <v>22800</v>
      </c>
      <c r="X8" s="29">
        <v>15</v>
      </c>
      <c r="Y8" s="30">
        <f>X8*600</f>
        <v>9000</v>
      </c>
      <c r="Z8" s="88">
        <f t="shared" si="0"/>
        <v>307</v>
      </c>
      <c r="AA8" s="86">
        <f t="shared" si="0"/>
        <v>184200</v>
      </c>
    </row>
    <row r="9" spans="1:27" ht="45.75" thickBot="1" x14ac:dyDescent="0.3">
      <c r="A9" s="68" t="s">
        <v>33</v>
      </c>
      <c r="B9" s="72">
        <v>34</v>
      </c>
      <c r="C9" s="80">
        <f>34*1000</f>
        <v>34000</v>
      </c>
      <c r="D9" s="76">
        <v>0</v>
      </c>
      <c r="E9" s="80">
        <f>0*1000</f>
        <v>0</v>
      </c>
      <c r="F9" s="76">
        <v>2</v>
      </c>
      <c r="G9" s="80">
        <f>F9*1000</f>
        <v>2000</v>
      </c>
      <c r="H9" s="76">
        <v>7</v>
      </c>
      <c r="I9" s="80">
        <f>7*1000</f>
        <v>7000</v>
      </c>
      <c r="J9" s="76">
        <v>3</v>
      </c>
      <c r="K9" s="80">
        <f>J9*1000</f>
        <v>3000</v>
      </c>
      <c r="L9" s="76">
        <v>5</v>
      </c>
      <c r="M9" s="93">
        <f>L9*1000</f>
        <v>5000</v>
      </c>
      <c r="N9" s="29">
        <v>15</v>
      </c>
      <c r="O9" s="30">
        <f>N9*1000</f>
        <v>15000</v>
      </c>
      <c r="P9" s="65">
        <v>15</v>
      </c>
      <c r="Q9" s="32">
        <f>15*1000</f>
        <v>15000</v>
      </c>
      <c r="R9" s="31">
        <v>12</v>
      </c>
      <c r="S9" s="32">
        <f>R9*1000</f>
        <v>12000</v>
      </c>
      <c r="T9" s="31">
        <v>20</v>
      </c>
      <c r="U9" s="32">
        <f>T9*1000</f>
        <v>20000</v>
      </c>
      <c r="V9" s="31">
        <v>21</v>
      </c>
      <c r="W9" s="32">
        <f>V9*1000</f>
        <v>21000</v>
      </c>
      <c r="X9" s="31">
        <v>4</v>
      </c>
      <c r="Y9" s="32">
        <f>X9*1000</f>
        <v>4000</v>
      </c>
      <c r="Z9" s="88">
        <f t="shared" si="0"/>
        <v>138</v>
      </c>
      <c r="AA9" s="86">
        <f t="shared" si="0"/>
        <v>138000</v>
      </c>
    </row>
    <row r="10" spans="1:27" ht="30.75" thickBot="1" x14ac:dyDescent="0.3">
      <c r="A10" s="69" t="s">
        <v>40</v>
      </c>
      <c r="B10" s="73"/>
      <c r="C10" s="81"/>
      <c r="D10" s="77">
        <v>4</v>
      </c>
      <c r="E10" s="81">
        <f>D10*1000</f>
        <v>4000</v>
      </c>
      <c r="F10" s="77">
        <v>2</v>
      </c>
      <c r="G10" s="81">
        <f>F10*1000</f>
        <v>2000</v>
      </c>
      <c r="H10" s="77">
        <v>5</v>
      </c>
      <c r="I10" s="81">
        <f>5*1000</f>
        <v>5000</v>
      </c>
      <c r="J10" s="77">
        <v>1</v>
      </c>
      <c r="K10" s="81">
        <f>J10*1000</f>
        <v>1000</v>
      </c>
      <c r="L10" s="77">
        <v>5</v>
      </c>
      <c r="M10" s="94">
        <f>L10*1000</f>
        <v>5000</v>
      </c>
      <c r="N10" s="31">
        <v>5</v>
      </c>
      <c r="O10" s="32">
        <f>N10*1000</f>
        <v>5000</v>
      </c>
      <c r="P10" s="63">
        <v>6</v>
      </c>
      <c r="Q10" s="64">
        <f>6*1000</f>
        <v>6000</v>
      </c>
      <c r="R10" s="63">
        <v>4</v>
      </c>
      <c r="S10" s="64">
        <f>R10*1000</f>
        <v>4000</v>
      </c>
      <c r="T10" s="63">
        <v>7</v>
      </c>
      <c r="U10" s="64">
        <f>T10*1000</f>
        <v>7000</v>
      </c>
      <c r="V10" s="63">
        <v>8</v>
      </c>
      <c r="W10" s="64">
        <f>V10*1000</f>
        <v>8000</v>
      </c>
      <c r="X10" s="63">
        <v>5</v>
      </c>
      <c r="Y10" s="64">
        <f>X10*1000</f>
        <v>5000</v>
      </c>
      <c r="Z10" s="88">
        <f t="shared" si="0"/>
        <v>52</v>
      </c>
      <c r="AA10" s="86">
        <f t="shared" si="0"/>
        <v>52000</v>
      </c>
    </row>
    <row r="11" spans="1:27" ht="15.75" thickBot="1" x14ac:dyDescent="0.3">
      <c r="A11" s="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6"/>
      <c r="O11" s="6"/>
      <c r="P11" s="8"/>
      <c r="Q11" s="8"/>
      <c r="R11" s="6"/>
      <c r="S11" s="6"/>
      <c r="T11" s="6"/>
      <c r="U11" s="6"/>
      <c r="V11" s="6"/>
      <c r="W11" s="6"/>
      <c r="X11" s="6"/>
      <c r="Y11" s="6"/>
    </row>
    <row r="12" spans="1:27" ht="15.75" thickBot="1" x14ac:dyDescent="0.3">
      <c r="A12" s="85" t="s">
        <v>19</v>
      </c>
      <c r="B12" s="74">
        <f>SUM(B5:B11)</f>
        <v>159</v>
      </c>
      <c r="C12" s="82">
        <f t="shared" ref="C12" si="1">SUM(C5:C11)</f>
        <v>118100</v>
      </c>
      <c r="D12" s="78">
        <f>SUM(D5:D10)</f>
        <v>180</v>
      </c>
      <c r="E12" s="82">
        <f>SUM(E5:E9)</f>
        <v>128400</v>
      </c>
      <c r="F12" s="78">
        <f t="shared" ref="F12:K12" si="2">SUM(F5:F10)</f>
        <v>194</v>
      </c>
      <c r="G12" s="82">
        <f t="shared" si="2"/>
        <v>133500</v>
      </c>
      <c r="H12" s="78">
        <f t="shared" si="2"/>
        <v>165</v>
      </c>
      <c r="I12" s="82">
        <f t="shared" si="2"/>
        <v>106200</v>
      </c>
      <c r="J12" s="78">
        <f t="shared" si="2"/>
        <v>170</v>
      </c>
      <c r="K12" s="82">
        <f t="shared" si="2"/>
        <v>109500</v>
      </c>
      <c r="L12" s="78">
        <f t="shared" ref="L12:Q12" si="3">SUM(L5:L10)</f>
        <v>166</v>
      </c>
      <c r="M12" s="84">
        <f t="shared" si="3"/>
        <v>106800</v>
      </c>
      <c r="N12" s="70">
        <f t="shared" si="3"/>
        <v>173</v>
      </c>
      <c r="O12" s="47">
        <f t="shared" si="3"/>
        <v>110100</v>
      </c>
      <c r="P12" s="46">
        <f t="shared" si="3"/>
        <v>264</v>
      </c>
      <c r="Q12" s="47">
        <f t="shared" si="3"/>
        <v>158500</v>
      </c>
      <c r="R12" s="46">
        <f t="shared" ref="R12:W12" si="4">SUM(R5:R10)</f>
        <v>179</v>
      </c>
      <c r="S12" s="47">
        <f t="shared" si="4"/>
        <v>109000</v>
      </c>
      <c r="T12" s="46">
        <f t="shared" si="4"/>
        <v>266</v>
      </c>
      <c r="U12" s="47">
        <f t="shared" si="4"/>
        <v>166600</v>
      </c>
      <c r="V12" s="46">
        <f t="shared" si="4"/>
        <v>264</v>
      </c>
      <c r="W12" s="47">
        <f t="shared" si="4"/>
        <v>171800</v>
      </c>
      <c r="X12" s="46">
        <f>SUM(X5:X10)</f>
        <v>134</v>
      </c>
      <c r="Y12" s="47">
        <f>SUM(Y5:Y10)</f>
        <v>79000</v>
      </c>
      <c r="Z12" s="89">
        <f>SUM(Z5:Z10)</f>
        <v>2314</v>
      </c>
      <c r="AA12" s="80">
        <f>SUM(AA5:AA10)</f>
        <v>1501500</v>
      </c>
    </row>
    <row r="14" spans="1:27" x14ac:dyDescent="0.25">
      <c r="A14" t="s">
        <v>49</v>
      </c>
      <c r="C14">
        <f>'2023_1 '!D15</f>
        <v>97</v>
      </c>
      <c r="E14">
        <f>'2023_1 '!D16</f>
        <v>73</v>
      </c>
      <c r="G14">
        <f>'2023_1 '!D17</f>
        <v>78</v>
      </c>
      <c r="I14">
        <f>'2023_1 '!D18</f>
        <v>66</v>
      </c>
      <c r="K14">
        <f>'2023_1 '!D19</f>
        <v>60</v>
      </c>
      <c r="M14">
        <f>'2023_1 '!D20</f>
        <v>43</v>
      </c>
      <c r="O14">
        <v>67</v>
      </c>
      <c r="Q14">
        <f>'2023'!Q10</f>
        <v>99</v>
      </c>
      <c r="S14">
        <v>46</v>
      </c>
      <c r="U14">
        <v>71</v>
      </c>
      <c r="W14">
        <v>64</v>
      </c>
      <c r="Y14">
        <v>33</v>
      </c>
      <c r="Z14">
        <f>SUM(C14:Y14)</f>
        <v>797</v>
      </c>
    </row>
    <row r="15" spans="1:27" x14ac:dyDescent="0.25">
      <c r="A15" t="s">
        <v>50</v>
      </c>
      <c r="C15">
        <f>C12/97</f>
        <v>1217.5257731958764</v>
      </c>
      <c r="E15">
        <f>E12/73</f>
        <v>1758.9041095890411</v>
      </c>
      <c r="G15">
        <f>G12/'2023_1 '!D17</f>
        <v>1711.5384615384614</v>
      </c>
      <c r="I15">
        <f>I12/'2023_1 '!D18</f>
        <v>1609.090909090909</v>
      </c>
      <c r="K15">
        <f>K12/'2023_1 '!D19</f>
        <v>1825</v>
      </c>
      <c r="M15">
        <f>M12/'2023_1 '!D20</f>
        <v>2483.7209302325582</v>
      </c>
      <c r="O15">
        <f>O12/O14</f>
        <v>1643.2835820895523</v>
      </c>
      <c r="Q15">
        <f>Q12/Q14</f>
        <v>1601.0101010101009</v>
      </c>
      <c r="S15">
        <f>S12/S14</f>
        <v>2369.5652173913045</v>
      </c>
      <c r="U15">
        <f>U12/U14</f>
        <v>2346.4788732394368</v>
      </c>
      <c r="W15">
        <f>W12/W14</f>
        <v>2684.375</v>
      </c>
      <c r="Y15">
        <f>Y12/Y14</f>
        <v>2393.939393939394</v>
      </c>
      <c r="Z15" s="91">
        <f>AA12/Z14</f>
        <v>1883.939774153074</v>
      </c>
    </row>
    <row r="16" spans="1:27" x14ac:dyDescent="0.25">
      <c r="Z16" s="90">
        <f>AA12/374</f>
        <v>4014.705882352941</v>
      </c>
    </row>
  </sheetData>
  <mergeCells count="13">
    <mergeCell ref="Z3:AA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98895-B987-4A59-99AD-6056C36FC222}">
  <dimension ref="A1:AA17"/>
  <sheetViews>
    <sheetView zoomScale="80" zoomScaleNormal="80" workbookViewId="0">
      <pane xSplit="1" topLeftCell="B1" activePane="topRight" state="frozen"/>
      <selection pane="topRight" activeCell="C10" sqref="C10"/>
    </sheetView>
  </sheetViews>
  <sheetFormatPr defaultRowHeight="15" x14ac:dyDescent="0.25"/>
  <cols>
    <col min="1" max="1" width="17.5703125" customWidth="1"/>
    <col min="2" max="2" width="12" customWidth="1"/>
    <col min="3" max="3" width="10" customWidth="1"/>
    <col min="4" max="4" width="12.42578125" customWidth="1"/>
    <col min="5" max="5" width="11.140625" customWidth="1"/>
    <col min="6" max="6" width="12.28515625" customWidth="1"/>
    <col min="7" max="7" width="12" customWidth="1"/>
    <col min="8" max="8" width="11.7109375" customWidth="1"/>
    <col min="9" max="9" width="10.5703125" customWidth="1"/>
    <col min="10" max="10" width="12.42578125" customWidth="1"/>
    <col min="11" max="11" width="9.85546875" customWidth="1"/>
    <col min="12" max="12" width="10.42578125" customWidth="1"/>
    <col min="13" max="13" width="11.5703125" customWidth="1"/>
    <col min="26" max="26" width="10.42578125" customWidth="1"/>
  </cols>
  <sheetData>
    <row r="1" spans="1:27" ht="15.75" thickBot="1" x14ac:dyDescent="0.3"/>
    <row r="2" spans="1:27" x14ac:dyDescent="0.25">
      <c r="A2" s="6"/>
      <c r="B2" s="20" t="s">
        <v>23</v>
      </c>
      <c r="C2" s="20" t="s">
        <v>23</v>
      </c>
      <c r="D2" s="20" t="s">
        <v>24</v>
      </c>
      <c r="E2" s="20" t="s">
        <v>24</v>
      </c>
      <c r="F2" s="21" t="s">
        <v>25</v>
      </c>
      <c r="G2" s="21" t="s">
        <v>25</v>
      </c>
      <c r="H2" s="21" t="s">
        <v>26</v>
      </c>
      <c r="I2" s="22" t="s">
        <v>26</v>
      </c>
      <c r="J2" s="21" t="s">
        <v>27</v>
      </c>
      <c r="K2" s="54" t="s">
        <v>27</v>
      </c>
      <c r="L2" s="25" t="s">
        <v>28</v>
      </c>
      <c r="M2" s="26" t="s">
        <v>28</v>
      </c>
      <c r="N2" s="25" t="s">
        <v>42</v>
      </c>
      <c r="O2" s="26" t="s">
        <v>42</v>
      </c>
      <c r="P2" s="25" t="s">
        <v>3</v>
      </c>
      <c r="Q2" s="26" t="s">
        <v>3</v>
      </c>
      <c r="R2" s="35" t="s">
        <v>4</v>
      </c>
      <c r="S2" s="36" t="s">
        <v>4</v>
      </c>
      <c r="T2" s="35" t="s">
        <v>5</v>
      </c>
      <c r="U2" s="36" t="s">
        <v>5</v>
      </c>
      <c r="V2" s="35" t="s">
        <v>6</v>
      </c>
      <c r="W2" s="36" t="s">
        <v>6</v>
      </c>
      <c r="X2" s="37" t="s">
        <v>7</v>
      </c>
      <c r="Y2" s="38" t="s">
        <v>7</v>
      </c>
      <c r="Z2" s="98" t="s">
        <v>29</v>
      </c>
      <c r="AA2" s="99"/>
    </row>
    <row r="3" spans="1:27" x14ac:dyDescent="0.25">
      <c r="A3" s="6"/>
      <c r="B3" s="13" t="s">
        <v>1</v>
      </c>
      <c r="C3" s="11" t="s">
        <v>2</v>
      </c>
      <c r="D3" s="13" t="s">
        <v>1</v>
      </c>
      <c r="E3" s="11" t="s">
        <v>2</v>
      </c>
      <c r="F3" s="13" t="s">
        <v>1</v>
      </c>
      <c r="G3" s="11" t="s">
        <v>2</v>
      </c>
      <c r="H3" s="13" t="s">
        <v>1</v>
      </c>
      <c r="I3" s="11" t="s">
        <v>2</v>
      </c>
      <c r="J3" s="13" t="s">
        <v>1</v>
      </c>
      <c r="K3" s="53" t="s">
        <v>2</v>
      </c>
      <c r="L3" s="27" t="s">
        <v>1</v>
      </c>
      <c r="M3" s="28" t="s">
        <v>2</v>
      </c>
      <c r="N3" s="27" t="s">
        <v>1</v>
      </c>
      <c r="O3" s="28" t="s">
        <v>2</v>
      </c>
      <c r="P3" s="33" t="s">
        <v>1</v>
      </c>
      <c r="Q3" s="34" t="s">
        <v>2</v>
      </c>
      <c r="R3" s="33" t="s">
        <v>1</v>
      </c>
      <c r="S3" s="34" t="s">
        <v>2</v>
      </c>
      <c r="T3" s="33" t="s">
        <v>1</v>
      </c>
      <c r="U3" s="34" t="s">
        <v>2</v>
      </c>
      <c r="V3" s="33" t="s">
        <v>1</v>
      </c>
      <c r="W3" s="34" t="s">
        <v>2</v>
      </c>
      <c r="X3" s="33" t="s">
        <v>1</v>
      </c>
      <c r="Y3" s="34" t="s">
        <v>2</v>
      </c>
      <c r="Z3" s="29" t="s">
        <v>1</v>
      </c>
      <c r="AA3" s="30" t="s">
        <v>2</v>
      </c>
    </row>
    <row r="4" spans="1:27" x14ac:dyDescent="0.25">
      <c r="A4" s="7" t="s">
        <v>14</v>
      </c>
      <c r="B4" s="9">
        <v>16</v>
      </c>
      <c r="C4" s="10">
        <v>16</v>
      </c>
      <c r="D4" s="9">
        <v>15</v>
      </c>
      <c r="E4" s="10">
        <v>15</v>
      </c>
      <c r="F4" s="9"/>
      <c r="G4" s="10"/>
      <c r="H4" s="9"/>
      <c r="I4" s="10"/>
      <c r="J4" s="9"/>
      <c r="K4" s="41"/>
      <c r="L4" s="29"/>
      <c r="M4" s="30"/>
      <c r="N4" s="29"/>
      <c r="O4" s="30"/>
      <c r="P4" s="29"/>
      <c r="Q4" s="30"/>
      <c r="R4" s="29"/>
      <c r="S4" s="30"/>
      <c r="T4" s="29"/>
      <c r="U4" s="30"/>
      <c r="V4" s="29"/>
      <c r="W4" s="30"/>
      <c r="X4" s="29"/>
      <c r="Y4" s="30"/>
      <c r="Z4" s="55"/>
      <c r="AA4" s="56"/>
    </row>
    <row r="5" spans="1:27" x14ac:dyDescent="0.25">
      <c r="A5" s="7" t="s">
        <v>15</v>
      </c>
      <c r="B5" s="9">
        <v>17</v>
      </c>
      <c r="C5" s="10">
        <v>16</v>
      </c>
      <c r="D5" s="9">
        <v>19</v>
      </c>
      <c r="E5" s="10">
        <v>18</v>
      </c>
      <c r="F5" s="9"/>
      <c r="G5" s="10"/>
      <c r="H5" s="9"/>
      <c r="I5" s="10"/>
      <c r="J5" s="9"/>
      <c r="K5" s="41"/>
      <c r="L5" s="29"/>
      <c r="M5" s="30"/>
      <c r="N5" s="29"/>
      <c r="O5" s="30"/>
      <c r="P5" s="29"/>
      <c r="Q5" s="30"/>
      <c r="R5" s="29"/>
      <c r="S5" s="30"/>
      <c r="T5" s="29"/>
      <c r="U5" s="30"/>
      <c r="V5" s="29"/>
      <c r="W5" s="30"/>
      <c r="X5" s="29"/>
      <c r="Y5" s="30"/>
      <c r="Z5" s="55"/>
      <c r="AA5" s="56"/>
    </row>
    <row r="6" spans="1:27" x14ac:dyDescent="0.25">
      <c r="A6" s="7" t="s">
        <v>16</v>
      </c>
      <c r="B6" s="9">
        <v>8</v>
      </c>
      <c r="C6" s="10">
        <v>8</v>
      </c>
      <c r="D6" s="9">
        <v>8</v>
      </c>
      <c r="E6" s="10">
        <v>6</v>
      </c>
      <c r="F6" s="9"/>
      <c r="G6" s="10"/>
      <c r="H6" s="9"/>
      <c r="I6" s="10"/>
      <c r="J6" s="9"/>
      <c r="K6" s="41"/>
      <c r="L6" s="29"/>
      <c r="M6" s="30"/>
      <c r="N6" s="29"/>
      <c r="O6" s="30"/>
      <c r="P6" s="29"/>
      <c r="Q6" s="30"/>
      <c r="R6" s="29"/>
      <c r="S6" s="30"/>
      <c r="T6" s="29"/>
      <c r="U6" s="30"/>
      <c r="V6" s="29"/>
      <c r="W6" s="30"/>
      <c r="X6" s="29"/>
      <c r="Y6" s="30"/>
      <c r="Z6" s="55"/>
      <c r="AA6" s="56"/>
    </row>
    <row r="7" spans="1:27" x14ac:dyDescent="0.25">
      <c r="A7" s="7" t="s">
        <v>17</v>
      </c>
      <c r="B7" s="9">
        <v>5</v>
      </c>
      <c r="C7" s="10">
        <v>5</v>
      </c>
      <c r="D7" s="9">
        <v>6</v>
      </c>
      <c r="E7" s="10">
        <v>5</v>
      </c>
      <c r="F7" s="9"/>
      <c r="G7" s="10"/>
      <c r="H7" s="9"/>
      <c r="I7" s="10"/>
      <c r="J7" s="9"/>
      <c r="K7" s="41"/>
      <c r="L7" s="29"/>
      <c r="M7" s="30"/>
      <c r="N7" s="29"/>
      <c r="O7" s="30"/>
      <c r="P7" s="29"/>
      <c r="Q7" s="30"/>
      <c r="R7" s="29"/>
      <c r="S7" s="30"/>
      <c r="T7" s="29"/>
      <c r="U7" s="30"/>
      <c r="V7" s="29"/>
      <c r="W7" s="30"/>
      <c r="X7" s="29"/>
      <c r="Y7" s="30"/>
      <c r="Z7" s="55"/>
      <c r="AA7" s="56"/>
    </row>
    <row r="8" spans="1:27" ht="15.75" thickBot="1" x14ac:dyDescent="0.3">
      <c r="A8" s="7" t="s">
        <v>30</v>
      </c>
      <c r="B8" s="9">
        <v>4</v>
      </c>
      <c r="C8" s="10">
        <v>4</v>
      </c>
      <c r="D8" s="9">
        <v>10</v>
      </c>
      <c r="E8" s="10">
        <v>8</v>
      </c>
      <c r="F8" s="9"/>
      <c r="G8" s="10"/>
      <c r="H8" s="9"/>
      <c r="I8" s="10"/>
      <c r="J8" s="9"/>
      <c r="K8" s="41"/>
      <c r="L8" s="31"/>
      <c r="M8" s="32"/>
      <c r="N8" s="31"/>
      <c r="O8" s="32"/>
      <c r="P8" s="31"/>
      <c r="Q8" s="32"/>
      <c r="R8" s="31"/>
      <c r="S8" s="32"/>
      <c r="T8" s="31"/>
      <c r="U8" s="32"/>
      <c r="V8" s="31"/>
      <c r="W8" s="32"/>
      <c r="X8" s="31"/>
      <c r="Y8" s="32"/>
      <c r="Z8" s="55"/>
      <c r="AA8" s="56"/>
    </row>
    <row r="9" spans="1:27" ht="15.75" thickBot="1" x14ac:dyDescent="0.3">
      <c r="A9" s="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6"/>
      <c r="O9" s="6"/>
      <c r="P9" s="8"/>
      <c r="Q9" s="8"/>
      <c r="R9" s="6"/>
      <c r="S9" s="6"/>
      <c r="T9" s="6"/>
      <c r="U9" s="6"/>
      <c r="V9" s="6"/>
      <c r="W9" s="6"/>
      <c r="X9" s="6"/>
      <c r="Y9" s="6"/>
    </row>
    <row r="10" spans="1:27" ht="15.75" thickBot="1" x14ac:dyDescent="0.3">
      <c r="A10" s="15" t="s">
        <v>19</v>
      </c>
      <c r="B10" s="9">
        <f>SUM(B4:B9)</f>
        <v>50</v>
      </c>
      <c r="C10" s="10">
        <f t="shared" ref="C10" si="0">SUM(C4:C9)</f>
        <v>49</v>
      </c>
      <c r="D10" s="9">
        <f t="shared" ref="D10:U10" si="1">SUM(D4:D8)</f>
        <v>58</v>
      </c>
      <c r="E10" s="10">
        <f t="shared" si="1"/>
        <v>52</v>
      </c>
      <c r="F10" s="9">
        <f t="shared" si="1"/>
        <v>0</v>
      </c>
      <c r="G10" s="10">
        <f t="shared" si="1"/>
        <v>0</v>
      </c>
      <c r="H10" s="9">
        <f t="shared" si="1"/>
        <v>0</v>
      </c>
      <c r="I10" s="10">
        <f t="shared" si="1"/>
        <v>0</v>
      </c>
      <c r="J10" s="9">
        <f t="shared" si="1"/>
        <v>0</v>
      </c>
      <c r="K10" s="41">
        <f t="shared" si="1"/>
        <v>0</v>
      </c>
      <c r="L10" s="46">
        <f t="shared" si="1"/>
        <v>0</v>
      </c>
      <c r="M10" s="47">
        <f t="shared" si="1"/>
        <v>0</v>
      </c>
      <c r="N10" s="46">
        <f t="shared" si="1"/>
        <v>0</v>
      </c>
      <c r="O10" s="47">
        <f t="shared" si="1"/>
        <v>0</v>
      </c>
      <c r="P10" s="46">
        <f t="shared" si="1"/>
        <v>0</v>
      </c>
      <c r="Q10" s="47">
        <f t="shared" si="1"/>
        <v>0</v>
      </c>
      <c r="R10" s="46">
        <f t="shared" si="1"/>
        <v>0</v>
      </c>
      <c r="S10" s="47">
        <f t="shared" si="1"/>
        <v>0</v>
      </c>
      <c r="T10" s="46">
        <f t="shared" si="1"/>
        <v>0</v>
      </c>
      <c r="U10" s="47">
        <f t="shared" si="1"/>
        <v>0</v>
      </c>
      <c r="V10" s="46">
        <f>SUM(V4:V8)</f>
        <v>0</v>
      </c>
      <c r="W10" s="47">
        <f>SUM(W4:W8)</f>
        <v>0</v>
      </c>
      <c r="X10" s="46">
        <f>SUM(X4:X8)</f>
        <v>0</v>
      </c>
      <c r="Y10" s="47">
        <f>SUM(Y4:Y8)</f>
        <v>0</v>
      </c>
      <c r="Z10" s="24">
        <f t="shared" ref="Z10:AA10" si="2">SUM(Z4:Z8)</f>
        <v>0</v>
      </c>
      <c r="AA10" s="10">
        <f t="shared" si="2"/>
        <v>0</v>
      </c>
    </row>
    <row r="13" spans="1:27" ht="23.25" x14ac:dyDescent="0.35">
      <c r="O13" s="4"/>
      <c r="S13" s="3"/>
    </row>
    <row r="14" spans="1:27" ht="20.25" x14ac:dyDescent="0.3">
      <c r="O14" s="1"/>
      <c r="P14" s="2"/>
    </row>
    <row r="15" spans="1:27" ht="18.75" x14ac:dyDescent="0.3">
      <c r="P15" s="2"/>
    </row>
    <row r="16" spans="1:27" ht="20.25" x14ac:dyDescent="0.3">
      <c r="O16" s="1"/>
      <c r="P16" s="2"/>
    </row>
    <row r="17" spans="16:16" ht="18.75" x14ac:dyDescent="0.3">
      <c r="P17" s="2"/>
    </row>
  </sheetData>
  <mergeCells count="1">
    <mergeCell ref="Z2:AA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2021</vt:lpstr>
      <vt:lpstr>2021_1</vt:lpstr>
      <vt:lpstr>2022</vt:lpstr>
      <vt:lpstr>2022_1</vt:lpstr>
      <vt:lpstr>Услуги_2022</vt:lpstr>
      <vt:lpstr>2023</vt:lpstr>
      <vt:lpstr>2023_1 </vt:lpstr>
      <vt:lpstr>Услуги_2023</vt:lpstr>
      <vt:lpstr>2024</vt:lpstr>
      <vt:lpstr>2024_1 </vt:lpstr>
      <vt:lpstr>Услуги_2024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2024-03-10T14:54:26Z</dcterms:modified>
</cp:coreProperties>
</file>